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trlProps/ctrlProp64.xml" ContentType="application/vnd.ms-excel.controlproperties+xml"/>
  <Override PartName="/xl/ctrlProps/ctrlProp65.xml" ContentType="application/vnd.ms-excel.controlproperties+xml"/>
  <Override PartName="/xl/drawings/drawing19.xml" ContentType="application/vnd.openxmlformats-officedocument.drawing+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omments1.xml" ContentType="application/vnd.openxmlformats-officedocument.spreadsheetml.comments+xml"/>
  <Override PartName="/xl/drawings/drawing20.xml" ContentType="application/vnd.openxmlformats-officedocument.drawing+xml"/>
  <Override PartName="/xl/drawings/drawing21.xml" ContentType="application/vnd.openxmlformats-officedocument.drawing+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updateLinks="never" codeName="DieseArbeitsmappe" defaultThemeVersion="124226"/>
  <mc:AlternateContent xmlns:mc="http://schemas.openxmlformats.org/markup-compatibility/2006">
    <mc:Choice Requires="x15">
      <x15ac:absPath xmlns:x15ac="http://schemas.microsoft.com/office/spreadsheetml/2010/11/ac" url="I:\Office\Homepage\"/>
    </mc:Choice>
  </mc:AlternateContent>
  <xr:revisionPtr revIDLastSave="0" documentId="13_ncr:9_{A6C63B8B-50F0-493E-B559-1AD13BD039A3}" xr6:coauthVersionLast="47" xr6:coauthVersionMax="47" xr10:uidLastSave="{00000000-0000-0000-0000-000000000000}"/>
  <bookViews>
    <workbookView xWindow="28680" yWindow="-120" windowWidth="29040" windowHeight="17520" tabRatio="951" xr2:uid="{3B5DAC37-ADBE-4CCF-B242-29B7F6B7060A}"/>
  </bookViews>
  <sheets>
    <sheet name="WIE AUSFÜLLEN!" sheetId="1" r:id="rId1"/>
    <sheet name="Bemerkungen zum IV" sheetId="2" r:id="rId2"/>
    <sheet name="DECKBLATT" sheetId="3" r:id="rId3"/>
    <sheet name="Rindvieh" sheetId="4" r:id="rId4"/>
    <sheet name="Richtpreise" sheetId="22" state="hidden" r:id="rId5"/>
    <sheet name="Richtzahlen RV" sheetId="23" state="hidden" r:id="rId6"/>
    <sheet name="Detail Kühe" sheetId="5" r:id="rId7"/>
    <sheet name="Detail Aufzucht" sheetId="6" r:id="rId8"/>
    <sheet name="Detail Mast" sheetId="7" r:id="rId9"/>
    <sheet name="Anderes Vieh" sheetId="8" r:id="rId10"/>
    <sheet name="Pferde" sheetId="9" r:id="rId11"/>
    <sheet name="Debitoren" sheetId="10" r:id="rId12"/>
    <sheet name="Zusatzblatt Deb." sheetId="11" r:id="rId13"/>
    <sheet name="Wertschr._Kasse" sheetId="12" r:id="rId14"/>
    <sheet name="Kreditoren" sheetId="13" r:id="rId15"/>
    <sheet name="Zusatzblatt Kred." sheetId="14" r:id="rId16"/>
    <sheet name="Schuldenverz." sheetId="15" r:id="rId17"/>
    <sheet name="Selbstprod. V" sheetId="16" r:id="rId18"/>
    <sheet name="Zugek. V" sheetId="17" r:id="rId19"/>
    <sheet name="Naturallief." sheetId="18" r:id="rId20"/>
    <sheet name="Anbauplan" sheetId="19" r:id="rId21"/>
    <sheet name="Verpfl. und Arbeitskontrolle" sheetId="20" r:id="rId22"/>
    <sheet name="Allg. Angaben" sheetId="21" r:id="rId23"/>
  </sheets>
  <definedNames>
    <definedName name="_xlnm.Print_Area" localSheetId="20">Anbauplan!$A$1:$N$55</definedName>
    <definedName name="_xlnm.Print_Area" localSheetId="9">'Anderes Vieh'!$A$1:$M$52</definedName>
    <definedName name="_xlnm.Print_Area" localSheetId="19">Naturallief.!$A$1:$J$50</definedName>
    <definedName name="_xlnm.Print_Area" localSheetId="10">Pferde!$A$1:$L$35</definedName>
    <definedName name="_xlnm.Print_Area" localSheetId="3">Rindvieh!$A$1:$I$44</definedName>
    <definedName name="_xlnm.Print_Area" localSheetId="16">Schuldenverz.!$A$1:$G$40</definedName>
    <definedName name="_xlnm.Print_Area" localSheetId="17">'Selbstprod. V'!$A$1:$M$47</definedName>
    <definedName name="_xlnm.Print_Area" localSheetId="21">'Verpfl. und Arbeitskontrolle'!$A$1:$J$44</definedName>
    <definedName name="_xlnm.Print_Area" localSheetId="13">Wertschr._Kasse!$A$1:$G$40</definedName>
    <definedName name="_xlnm.Print_Area" localSheetId="0">'WIE AUSFÜLLEN!'!$A$1:$B$65</definedName>
    <definedName name="Z_B919D2EB_D122_4E25_8E52_25BE88B69D9E_.wvu.Cols" localSheetId="7" hidden="1">'Detail Aufzucht'!$F:$F,'Detail Aufzucht'!$M:$M</definedName>
    <definedName name="Z_B919D2EB_D122_4E25_8E52_25BE88B69D9E_.wvu.Cols" localSheetId="8" hidden="1">'Detail Mast'!#REF!,'Detail Mast'!#REF!</definedName>
    <definedName name="Z_B919D2EB_D122_4E25_8E52_25BE88B69D9E_.wvu.PrintArea" localSheetId="20" hidden="1">Anbauplan!$A$1:$N$55</definedName>
    <definedName name="Z_B919D2EB_D122_4E25_8E52_25BE88B69D9E_.wvu.PrintArea" localSheetId="9" hidden="1">'Anderes Vieh'!$A$1:$M$52</definedName>
    <definedName name="Z_B919D2EB_D122_4E25_8E52_25BE88B69D9E_.wvu.PrintArea" localSheetId="19" hidden="1">Naturallief.!$A$1:$J$50</definedName>
    <definedName name="Z_B919D2EB_D122_4E25_8E52_25BE88B69D9E_.wvu.PrintArea" localSheetId="10" hidden="1">Pferde!$A$1:$L$29</definedName>
    <definedName name="Z_B919D2EB_D122_4E25_8E52_25BE88B69D9E_.wvu.PrintArea" localSheetId="3" hidden="1">Rindvieh!$A$1:$I$44</definedName>
    <definedName name="Z_B919D2EB_D122_4E25_8E52_25BE88B69D9E_.wvu.PrintArea" localSheetId="16" hidden="1">Schuldenverz.!$A$1:$G$40</definedName>
    <definedName name="Z_B919D2EB_D122_4E25_8E52_25BE88B69D9E_.wvu.PrintArea" localSheetId="17" hidden="1">'Selbstprod. V'!$A$1:$M$47</definedName>
    <definedName name="Z_B919D2EB_D122_4E25_8E52_25BE88B69D9E_.wvu.PrintArea" localSheetId="21" hidden="1">'Verpfl. und Arbeitskontrolle'!$A$1:$J$44</definedName>
    <definedName name="Z_B919D2EB_D122_4E25_8E52_25BE88B69D9E_.wvu.PrintArea" localSheetId="13" hidden="1">Wertschr._Kasse!$A$1:$G$40</definedName>
    <definedName name="Z_B919D2EB_D122_4E25_8E52_25BE88B69D9E_.wvu.PrintArea" localSheetId="0" hidden="1">'WIE AUSFÜLLEN!'!$A$1:$B$65</definedName>
  </definedNames>
  <calcPr calcId="191029" fullCalcOnLoad="1"/>
  <customWorkbookViews>
    <customWorkbookView name="Philipp Gisin - Persönliche Ansicht" guid="{B919D2EB-D122-4E25-8E52-25BE88B69D9E}" mergeInterval="0" personalView="1" maximized="1" xWindow="1" yWindow="1" windowWidth="1362" windowHeight="548" tabRatio="951" activeSheetId="1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1" l="1"/>
  <c r="A1" i="20"/>
  <c r="H3" i="20"/>
  <c r="J8" i="20"/>
  <c r="J9" i="20"/>
  <c r="J11" i="20"/>
  <c r="J12" i="20"/>
  <c r="J13" i="20"/>
  <c r="J14" i="20"/>
  <c r="J15" i="20"/>
  <c r="J16" i="20"/>
  <c r="J17" i="20"/>
  <c r="J18" i="20"/>
  <c r="J27" i="20"/>
  <c r="I30" i="20"/>
  <c r="I31" i="20"/>
  <c r="I32" i="20"/>
  <c r="I33" i="20"/>
  <c r="I34" i="20"/>
  <c r="I35" i="20"/>
  <c r="I37" i="20"/>
  <c r="I38" i="20"/>
  <c r="I39" i="20"/>
  <c r="I40" i="20"/>
  <c r="I42" i="20"/>
  <c r="A1" i="19"/>
  <c r="I3" i="19"/>
  <c r="H34" i="19"/>
  <c r="H38" i="19"/>
  <c r="H47" i="19"/>
  <c r="H49" i="19"/>
  <c r="X50" i="19"/>
  <c r="X51" i="19"/>
  <c r="H52" i="19"/>
  <c r="J53" i="19"/>
  <c r="L53" i="19"/>
  <c r="T53" i="19"/>
  <c r="X53" i="19"/>
  <c r="H54" i="19"/>
  <c r="J54" i="19"/>
  <c r="L54" i="19"/>
  <c r="A1" i="18"/>
  <c r="I6" i="18"/>
  <c r="F12" i="18"/>
  <c r="I12" i="18"/>
  <c r="J12" i="18"/>
  <c r="F13" i="18"/>
  <c r="I13" i="18"/>
  <c r="J13" i="18"/>
  <c r="F14" i="18"/>
  <c r="J14" i="18"/>
  <c r="F16" i="18"/>
  <c r="I16" i="18"/>
  <c r="J16" i="18"/>
  <c r="F17" i="18"/>
  <c r="I17" i="18"/>
  <c r="J17" i="18"/>
  <c r="F18" i="18"/>
  <c r="I18" i="18"/>
  <c r="J18" i="18"/>
  <c r="F19" i="18"/>
  <c r="I19" i="18"/>
  <c r="J19" i="18"/>
  <c r="F20" i="18"/>
  <c r="I20" i="18"/>
  <c r="J20" i="18"/>
  <c r="F21" i="18"/>
  <c r="I21" i="18"/>
  <c r="J21" i="18"/>
  <c r="F22" i="18"/>
  <c r="J22" i="18"/>
  <c r="F25" i="18"/>
  <c r="I25" i="18"/>
  <c r="J25" i="18"/>
  <c r="F26" i="18"/>
  <c r="I26" i="18"/>
  <c r="J26" i="18"/>
  <c r="F27" i="18"/>
  <c r="I27" i="18"/>
  <c r="J27" i="18"/>
  <c r="F28" i="18"/>
  <c r="J28" i="18"/>
  <c r="F29" i="18"/>
  <c r="I29" i="18"/>
  <c r="J29" i="18"/>
  <c r="F30" i="18"/>
  <c r="J30" i="18"/>
  <c r="F31" i="18"/>
  <c r="I31" i="18"/>
  <c r="J31" i="18"/>
  <c r="F32" i="18"/>
  <c r="J32" i="18"/>
  <c r="F33" i="18"/>
  <c r="I33" i="18"/>
  <c r="J33" i="18"/>
  <c r="F34" i="18"/>
  <c r="F35" i="18"/>
  <c r="I35" i="18"/>
  <c r="J35" i="18"/>
  <c r="F37" i="18"/>
  <c r="J37" i="18"/>
  <c r="F38" i="18"/>
  <c r="I38" i="18"/>
  <c r="J38" i="18"/>
  <c r="F39" i="18"/>
  <c r="J39" i="18"/>
  <c r="F40" i="18"/>
  <c r="J40" i="18"/>
  <c r="F41" i="18"/>
  <c r="I41" i="18"/>
  <c r="J41" i="18"/>
  <c r="F42" i="18"/>
  <c r="J42" i="18"/>
  <c r="F43" i="18"/>
  <c r="I43" i="18"/>
  <c r="J43" i="18"/>
  <c r="F44" i="18"/>
  <c r="I44" i="18"/>
  <c r="J44" i="18"/>
  <c r="F45" i="18"/>
  <c r="J45" i="18"/>
  <c r="F47" i="18"/>
  <c r="J47" i="18"/>
  <c r="A1" i="17"/>
  <c r="H4" i="17"/>
  <c r="M8" i="17"/>
  <c r="F9" i="17"/>
  <c r="F10" i="17"/>
  <c r="M10" i="17"/>
  <c r="F11" i="17"/>
  <c r="M11" i="17"/>
  <c r="F12" i="17"/>
  <c r="M12" i="17"/>
  <c r="F13" i="17"/>
  <c r="M13" i="17"/>
  <c r="F14" i="17"/>
  <c r="M14" i="17"/>
  <c r="F15" i="17"/>
  <c r="M15" i="17"/>
  <c r="F16" i="17"/>
  <c r="M16" i="17"/>
  <c r="F17" i="17"/>
  <c r="M17" i="17"/>
  <c r="F20" i="17"/>
  <c r="M20" i="17"/>
  <c r="F21" i="17"/>
  <c r="M21" i="17"/>
  <c r="F22" i="17"/>
  <c r="M22" i="17"/>
  <c r="F23" i="17"/>
  <c r="M23" i="17"/>
  <c r="F24" i="17"/>
  <c r="M24" i="17"/>
  <c r="F25" i="17"/>
  <c r="M25" i="17"/>
  <c r="M26" i="17"/>
  <c r="F28" i="17"/>
  <c r="F29" i="17"/>
  <c r="M29" i="17"/>
  <c r="F30" i="17"/>
  <c r="M30" i="17"/>
  <c r="F31" i="17"/>
  <c r="M31" i="17"/>
  <c r="F32" i="17"/>
  <c r="M32" i="17"/>
  <c r="F33" i="17"/>
  <c r="M33" i="17"/>
  <c r="M34" i="17"/>
  <c r="M35" i="17"/>
  <c r="F36" i="17"/>
  <c r="M36" i="17"/>
  <c r="F37" i="17"/>
  <c r="M37" i="17"/>
  <c r="F38" i="17"/>
  <c r="M38" i="17"/>
  <c r="F39" i="17"/>
  <c r="M39" i="17"/>
  <c r="F40" i="17"/>
  <c r="M40" i="17"/>
  <c r="F41" i="17"/>
  <c r="M41" i="17"/>
  <c r="F42" i="17"/>
  <c r="M42" i="17"/>
  <c r="F43" i="17"/>
  <c r="F44" i="17"/>
  <c r="F46" i="17"/>
  <c r="L46" i="17"/>
  <c r="A1" i="16"/>
  <c r="H4" i="16"/>
  <c r="L10" i="16"/>
  <c r="F11" i="16"/>
  <c r="F12" i="16"/>
  <c r="L12" i="16"/>
  <c r="F13" i="16"/>
  <c r="L13" i="16"/>
  <c r="F14" i="16"/>
  <c r="L14" i="16"/>
  <c r="F15" i="16"/>
  <c r="L15" i="16"/>
  <c r="F16" i="16"/>
  <c r="L16" i="16"/>
  <c r="F17" i="16"/>
  <c r="F18" i="16"/>
  <c r="L18" i="16"/>
  <c r="F19" i="16"/>
  <c r="L19" i="16"/>
  <c r="F20" i="16"/>
  <c r="L20" i="16"/>
  <c r="F21" i="16"/>
  <c r="F22" i="16"/>
  <c r="L22" i="16"/>
  <c r="F23" i="16"/>
  <c r="L23" i="16"/>
  <c r="F24" i="16"/>
  <c r="L24" i="16"/>
  <c r="F25" i="16"/>
  <c r="L25" i="16"/>
  <c r="F26" i="16"/>
  <c r="L26" i="16"/>
  <c r="F27" i="16"/>
  <c r="L27" i="16"/>
  <c r="F28" i="16"/>
  <c r="L28" i="16"/>
  <c r="F29" i="16"/>
  <c r="L29" i="16"/>
  <c r="F31" i="16"/>
  <c r="L31" i="16"/>
  <c r="F32" i="16"/>
  <c r="L32" i="16"/>
  <c r="F33" i="16"/>
  <c r="L33" i="16"/>
  <c r="F34" i="16"/>
  <c r="L34" i="16"/>
  <c r="F35" i="16"/>
  <c r="F36" i="16"/>
  <c r="L36" i="16"/>
  <c r="F37" i="16"/>
  <c r="L37" i="16"/>
  <c r="F38" i="16"/>
  <c r="L38" i="16"/>
  <c r="F39" i="16"/>
  <c r="L39" i="16"/>
  <c r="F40" i="16"/>
  <c r="L40" i="16"/>
  <c r="F41" i="16"/>
  <c r="F42" i="16"/>
  <c r="L42" i="16"/>
  <c r="F43" i="16"/>
  <c r="L43" i="16"/>
  <c r="F44" i="16"/>
  <c r="L44" i="16"/>
  <c r="F45" i="16"/>
  <c r="F46" i="16"/>
  <c r="L46" i="16"/>
  <c r="F47" i="16"/>
  <c r="L47" i="16"/>
  <c r="A1" i="15"/>
  <c r="F5" i="15"/>
  <c r="G12" i="15"/>
  <c r="G13" i="15"/>
  <c r="G14" i="15"/>
  <c r="G18" i="15"/>
  <c r="G19" i="15"/>
  <c r="G20" i="15"/>
  <c r="G21" i="15"/>
  <c r="G22" i="15"/>
  <c r="G26" i="15"/>
  <c r="G27" i="15"/>
  <c r="G28" i="15"/>
  <c r="G29" i="15"/>
  <c r="G30" i="15"/>
  <c r="G34" i="15"/>
  <c r="G35" i="15"/>
  <c r="G39" i="15"/>
  <c r="G40" i="15"/>
  <c r="A1" i="14"/>
  <c r="C4" i="14"/>
  <c r="C7" i="14"/>
  <c r="C40" i="14"/>
  <c r="A1" i="13"/>
  <c r="C4" i="13"/>
  <c r="C40" i="13"/>
  <c r="A1" i="12"/>
  <c r="F4" i="12"/>
  <c r="G37" i="12"/>
  <c r="A1" i="11"/>
  <c r="C4" i="11"/>
  <c r="C7" i="11"/>
  <c r="C40" i="11"/>
  <c r="A1" i="10"/>
  <c r="C4" i="10"/>
  <c r="C40" i="10"/>
  <c r="A1" i="9"/>
  <c r="I4" i="9"/>
  <c r="I29" i="9"/>
  <c r="L29" i="9"/>
  <c r="A1" i="8"/>
  <c r="K3" i="8"/>
  <c r="M6" i="8"/>
  <c r="M7" i="8"/>
  <c r="M8" i="8"/>
  <c r="M9" i="8"/>
  <c r="M10" i="8"/>
  <c r="M11" i="8"/>
  <c r="M12" i="8"/>
  <c r="M13" i="8"/>
  <c r="M14" i="8"/>
  <c r="M15" i="8"/>
  <c r="M16" i="8"/>
  <c r="J17" i="8"/>
  <c r="M17" i="8"/>
  <c r="J18" i="8"/>
  <c r="M18" i="8"/>
  <c r="J19" i="8"/>
  <c r="M19" i="8"/>
  <c r="J20" i="8"/>
  <c r="M20" i="8"/>
  <c r="J21" i="8"/>
  <c r="M21" i="8"/>
  <c r="J22" i="8"/>
  <c r="M22" i="8"/>
  <c r="J23" i="8"/>
  <c r="M23" i="8"/>
  <c r="J24" i="8"/>
  <c r="M24" i="8"/>
  <c r="J25" i="8"/>
  <c r="M25" i="8"/>
  <c r="J26" i="8"/>
  <c r="M26" i="8"/>
  <c r="J27" i="8"/>
  <c r="M27" i="8"/>
  <c r="J28" i="8"/>
  <c r="M28" i="8"/>
  <c r="J29" i="8"/>
  <c r="M29" i="8"/>
  <c r="J30" i="8"/>
  <c r="M30" i="8"/>
  <c r="J31" i="8"/>
  <c r="M31" i="8"/>
  <c r="J32" i="8"/>
  <c r="M32" i="8"/>
  <c r="G34" i="8"/>
  <c r="J34" i="8"/>
  <c r="M34" i="8"/>
  <c r="M39" i="8"/>
  <c r="M40" i="8"/>
  <c r="M41" i="8"/>
  <c r="M42" i="8"/>
  <c r="M43" i="8"/>
  <c r="D44" i="8"/>
  <c r="M44" i="8"/>
  <c r="L49" i="8"/>
  <c r="L50" i="8"/>
  <c r="L51" i="8"/>
  <c r="L52" i="8"/>
  <c r="H69" i="8"/>
  <c r="L69" i="8"/>
  <c r="H71" i="8"/>
  <c r="L71" i="8"/>
  <c r="L73" i="8"/>
  <c r="A1" i="7"/>
  <c r="F4" i="7"/>
  <c r="F11" i="7"/>
  <c r="G11" i="7"/>
  <c r="F12" i="7"/>
  <c r="G12" i="7"/>
  <c r="F13" i="7"/>
  <c r="G13" i="7"/>
  <c r="F14" i="7"/>
  <c r="G14" i="7"/>
  <c r="F15" i="7"/>
  <c r="G15" i="7"/>
  <c r="F16" i="7"/>
  <c r="G16" i="7"/>
  <c r="F17" i="7"/>
  <c r="G17" i="7"/>
  <c r="F18" i="7"/>
  <c r="G18" i="7"/>
  <c r="F19" i="7"/>
  <c r="G19" i="7"/>
  <c r="F20" i="7"/>
  <c r="G20" i="7"/>
  <c r="F21" i="7"/>
  <c r="G21" i="7"/>
  <c r="F22" i="7"/>
  <c r="G22" i="7"/>
  <c r="F23" i="7"/>
  <c r="G23" i="7"/>
  <c r="F24" i="7"/>
  <c r="G24" i="7"/>
  <c r="F25" i="7"/>
  <c r="G25" i="7"/>
  <c r="F26" i="7"/>
  <c r="G26" i="7"/>
  <c r="F27" i="7"/>
  <c r="G27" i="7"/>
  <c r="F28" i="7"/>
  <c r="G28" i="7"/>
  <c r="F29" i="7"/>
  <c r="G29" i="7"/>
  <c r="F30" i="7"/>
  <c r="G30" i="7"/>
  <c r="F31" i="7"/>
  <c r="G31" i="7"/>
  <c r="F32" i="7"/>
  <c r="G32" i="7"/>
  <c r="F33" i="7"/>
  <c r="G33" i="7"/>
  <c r="F34" i="7"/>
  <c r="G34" i="7"/>
  <c r="F35" i="7"/>
  <c r="G35" i="7"/>
  <c r="C36" i="7"/>
  <c r="G36" i="7"/>
  <c r="A1" i="6"/>
  <c r="J4" i="6"/>
  <c r="F10" i="6"/>
  <c r="G10" i="6"/>
  <c r="N10" i="6"/>
  <c r="F11" i="6"/>
  <c r="G11" i="6"/>
  <c r="M11" i="6"/>
  <c r="N11" i="6"/>
  <c r="F12" i="6"/>
  <c r="G12" i="6"/>
  <c r="M12" i="6"/>
  <c r="N12" i="6"/>
  <c r="F13" i="6"/>
  <c r="G13" i="6"/>
  <c r="M13" i="6"/>
  <c r="N13" i="6"/>
  <c r="F14" i="6"/>
  <c r="G14" i="6"/>
  <c r="M14" i="6"/>
  <c r="N14" i="6"/>
  <c r="F15" i="6"/>
  <c r="G15" i="6"/>
  <c r="M15" i="6"/>
  <c r="N15" i="6"/>
  <c r="F16" i="6"/>
  <c r="G16" i="6"/>
  <c r="M16" i="6"/>
  <c r="N16" i="6"/>
  <c r="F17" i="6"/>
  <c r="G17" i="6"/>
  <c r="M17" i="6"/>
  <c r="N17" i="6"/>
  <c r="F18" i="6"/>
  <c r="G18" i="6"/>
  <c r="M18" i="6"/>
  <c r="N18" i="6"/>
  <c r="F19" i="6"/>
  <c r="G19" i="6"/>
  <c r="M19" i="6"/>
  <c r="N19" i="6"/>
  <c r="F20" i="6"/>
  <c r="G20" i="6"/>
  <c r="M20" i="6"/>
  <c r="N20" i="6"/>
  <c r="F21" i="6"/>
  <c r="G21" i="6"/>
  <c r="M21" i="6"/>
  <c r="N21" i="6"/>
  <c r="F22" i="6"/>
  <c r="G22" i="6"/>
  <c r="M22" i="6"/>
  <c r="N22" i="6"/>
  <c r="F23" i="6"/>
  <c r="G23" i="6"/>
  <c r="M23" i="6"/>
  <c r="N23" i="6"/>
  <c r="F24" i="6"/>
  <c r="G24" i="6"/>
  <c r="M24" i="6"/>
  <c r="N24" i="6"/>
  <c r="F25" i="6"/>
  <c r="G25" i="6"/>
  <c r="M25" i="6"/>
  <c r="N25" i="6"/>
  <c r="G26" i="6"/>
  <c r="N26" i="6"/>
  <c r="A1" i="5"/>
  <c r="F4" i="5"/>
  <c r="D10" i="5"/>
  <c r="H10" i="5"/>
  <c r="D11" i="5"/>
  <c r="H11" i="5"/>
  <c r="D12" i="5"/>
  <c r="H12" i="5"/>
  <c r="D13" i="5"/>
  <c r="H13" i="5"/>
  <c r="D14" i="5"/>
  <c r="H14" i="5"/>
  <c r="D15" i="5"/>
  <c r="H15" i="5"/>
  <c r="D16" i="5"/>
  <c r="H16" i="5"/>
  <c r="D17" i="5"/>
  <c r="H17" i="5"/>
  <c r="D18" i="5"/>
  <c r="H18" i="5"/>
  <c r="D19" i="5"/>
  <c r="H19" i="5"/>
  <c r="D20" i="5"/>
  <c r="H20" i="5"/>
  <c r="D21" i="5"/>
  <c r="H21" i="5"/>
  <c r="D22" i="5"/>
  <c r="H22" i="5"/>
  <c r="D23" i="5"/>
  <c r="H23" i="5"/>
  <c r="D24" i="5"/>
  <c r="H24" i="5"/>
  <c r="D25" i="5"/>
  <c r="H25" i="5"/>
  <c r="D26" i="5"/>
  <c r="H26" i="5"/>
  <c r="D27" i="5"/>
  <c r="H27" i="5"/>
  <c r="D28" i="5"/>
  <c r="H28" i="5"/>
  <c r="D29" i="5"/>
  <c r="H29" i="5"/>
  <c r="D30" i="5"/>
  <c r="H30" i="5"/>
  <c r="D31" i="5"/>
  <c r="H31" i="5"/>
  <c r="D32" i="5"/>
  <c r="H32" i="5"/>
  <c r="D33" i="5"/>
  <c r="H33" i="5"/>
  <c r="D34" i="5"/>
  <c r="H34" i="5"/>
  <c r="D35" i="5"/>
  <c r="H35" i="5"/>
  <c r="D36" i="5"/>
  <c r="H36" i="5"/>
  <c r="D37" i="5"/>
  <c r="H37" i="5"/>
  <c r="D38" i="5"/>
  <c r="H38" i="5"/>
  <c r="D39" i="5"/>
  <c r="H39" i="5"/>
  <c r="D40" i="5"/>
  <c r="H40" i="5"/>
  <c r="D41" i="5"/>
  <c r="H41" i="5"/>
  <c r="D42" i="5"/>
  <c r="H42" i="5"/>
  <c r="B2" i="23"/>
  <c r="B3" i="23"/>
  <c r="B4" i="23"/>
  <c r="B5" i="23"/>
  <c r="B6" i="23"/>
  <c r="B7" i="23"/>
  <c r="B8" i="23"/>
  <c r="B9" i="23"/>
  <c r="B10" i="23"/>
  <c r="B11" i="23"/>
  <c r="B12" i="23"/>
  <c r="B13" i="23"/>
  <c r="B14" i="23"/>
  <c r="B15" i="23"/>
  <c r="B16" i="23"/>
  <c r="E16" i="23"/>
  <c r="B17" i="23"/>
  <c r="E17" i="23"/>
  <c r="B18" i="23"/>
  <c r="E18" i="23"/>
  <c r="B19" i="23"/>
  <c r="E19" i="23"/>
  <c r="B20" i="23"/>
  <c r="E20" i="23"/>
  <c r="B21" i="23"/>
  <c r="E21" i="23"/>
  <c r="B22" i="23"/>
  <c r="E22" i="23"/>
  <c r="B23" i="23"/>
  <c r="E23" i="23"/>
  <c r="B24" i="23"/>
  <c r="E24" i="23"/>
  <c r="B25" i="23"/>
  <c r="E25" i="23"/>
  <c r="B26" i="23"/>
  <c r="E26" i="23"/>
  <c r="B27" i="23"/>
  <c r="E27" i="23"/>
  <c r="B28" i="23"/>
  <c r="E28" i="23"/>
  <c r="B29" i="23"/>
  <c r="E29" i="23"/>
  <c r="B30" i="23"/>
  <c r="E30" i="23"/>
  <c r="B31" i="23"/>
  <c r="E31" i="23"/>
  <c r="B32" i="23"/>
  <c r="E32" i="23"/>
  <c r="B33" i="23"/>
  <c r="E33" i="23"/>
  <c r="B34" i="23"/>
  <c r="E34" i="23"/>
  <c r="B35" i="23"/>
  <c r="E35" i="23"/>
  <c r="B36" i="23"/>
  <c r="E36" i="23"/>
  <c r="B37" i="23"/>
  <c r="E37" i="23"/>
  <c r="B38" i="23"/>
  <c r="E38" i="23"/>
  <c r="B39" i="23"/>
  <c r="E39" i="23"/>
  <c r="B40" i="23"/>
  <c r="E40" i="23"/>
  <c r="B41" i="23"/>
  <c r="E41" i="23"/>
  <c r="B42" i="23"/>
  <c r="E42" i="23"/>
  <c r="B43" i="23"/>
  <c r="E43" i="23"/>
  <c r="B44" i="23"/>
  <c r="E44" i="23"/>
  <c r="B45" i="23"/>
  <c r="E45" i="23"/>
  <c r="B46" i="23"/>
  <c r="E46" i="23"/>
  <c r="B47" i="23"/>
  <c r="E47" i="23"/>
  <c r="B48" i="23"/>
  <c r="E48" i="23"/>
  <c r="B49" i="23"/>
  <c r="E49" i="23"/>
  <c r="B50" i="23"/>
  <c r="E50" i="23"/>
  <c r="B51" i="23"/>
  <c r="E51" i="23"/>
  <c r="B52" i="23"/>
  <c r="E52" i="23"/>
  <c r="B53" i="23"/>
  <c r="E53" i="23"/>
  <c r="B54" i="23"/>
  <c r="E54" i="23"/>
  <c r="B55" i="23"/>
  <c r="E55" i="23"/>
  <c r="B56" i="23"/>
  <c r="E56" i="23"/>
  <c r="B57" i="23"/>
  <c r="E57" i="23"/>
  <c r="B58" i="23"/>
  <c r="E58" i="23"/>
  <c r="B59" i="23"/>
  <c r="E59" i="23"/>
  <c r="B60" i="23"/>
  <c r="E60" i="23"/>
  <c r="B61" i="23"/>
  <c r="E61" i="23"/>
  <c r="B62" i="23"/>
  <c r="E62" i="23"/>
  <c r="B63" i="23"/>
  <c r="E63" i="23"/>
  <c r="B64" i="23"/>
  <c r="E64" i="23"/>
  <c r="B65" i="23"/>
  <c r="E65" i="23"/>
  <c r="B66" i="23"/>
  <c r="E66" i="23"/>
  <c r="B67" i="23"/>
  <c r="E67" i="23"/>
  <c r="B68" i="23"/>
  <c r="E68" i="23"/>
  <c r="B69" i="23"/>
  <c r="E69" i="23"/>
  <c r="B70" i="23"/>
  <c r="E70" i="23"/>
  <c r="B71" i="23"/>
  <c r="E71" i="23"/>
  <c r="B72" i="23"/>
  <c r="E72" i="23"/>
  <c r="B73" i="23"/>
  <c r="E73" i="23"/>
  <c r="B74" i="23"/>
  <c r="E74" i="23"/>
  <c r="B75" i="23"/>
  <c r="E75" i="23"/>
  <c r="B76" i="23"/>
  <c r="E76" i="23"/>
  <c r="B77" i="23"/>
  <c r="E77" i="23"/>
  <c r="B78" i="23"/>
  <c r="E78" i="23"/>
  <c r="B79" i="23"/>
  <c r="E79" i="23"/>
  <c r="B80" i="23"/>
  <c r="E80" i="23"/>
  <c r="B81" i="23"/>
  <c r="E81" i="23"/>
  <c r="B82" i="23"/>
  <c r="E82" i="23"/>
  <c r="B83" i="23"/>
  <c r="E83" i="23"/>
  <c r="B84" i="23"/>
  <c r="E84" i="23"/>
  <c r="B85" i="23"/>
  <c r="E85" i="23"/>
  <c r="B86" i="23"/>
  <c r="E86" i="23"/>
  <c r="B87" i="23"/>
  <c r="E87" i="23"/>
  <c r="D4" i="22"/>
  <c r="G4" i="22"/>
  <c r="K4" i="22"/>
  <c r="L4" i="22"/>
  <c r="D5" i="22"/>
  <c r="G5" i="22"/>
  <c r="K5" i="22"/>
  <c r="L5" i="22"/>
  <c r="N5" i="22"/>
  <c r="D6" i="22"/>
  <c r="G6" i="22"/>
  <c r="K6" i="22"/>
  <c r="L6" i="22"/>
  <c r="N6" i="22"/>
  <c r="D7" i="22"/>
  <c r="G7" i="22"/>
  <c r="K7" i="22"/>
  <c r="L7" i="22"/>
  <c r="N7" i="22"/>
  <c r="D8" i="22"/>
  <c r="G8" i="22"/>
  <c r="K8" i="22"/>
  <c r="L8" i="22"/>
  <c r="N8" i="22"/>
  <c r="D9" i="22"/>
  <c r="G9" i="22"/>
  <c r="K9" i="22"/>
  <c r="L9" i="22"/>
  <c r="N9" i="22"/>
  <c r="D10" i="22"/>
  <c r="G10" i="22"/>
  <c r="K10" i="22"/>
  <c r="L10" i="22"/>
  <c r="N10" i="22"/>
  <c r="D11" i="22"/>
  <c r="G11" i="22"/>
  <c r="K11" i="22"/>
  <c r="L11" i="22"/>
  <c r="N11" i="22"/>
  <c r="D12" i="22"/>
  <c r="G12" i="22"/>
  <c r="K12" i="22"/>
  <c r="L12" i="22"/>
  <c r="N12" i="22"/>
  <c r="D13" i="22"/>
  <c r="G13" i="22"/>
  <c r="K13" i="22"/>
  <c r="L13" i="22"/>
  <c r="N13" i="22"/>
  <c r="D14" i="22"/>
  <c r="G14" i="22"/>
  <c r="K14" i="22"/>
  <c r="L14" i="22"/>
  <c r="N14" i="22"/>
  <c r="D15" i="22"/>
  <c r="G15" i="22"/>
  <c r="K15" i="22"/>
  <c r="L15" i="22"/>
  <c r="N15" i="22"/>
  <c r="D16" i="22"/>
  <c r="G16" i="22"/>
  <c r="K16" i="22"/>
  <c r="L16" i="22"/>
  <c r="N16" i="22"/>
  <c r="D17" i="22"/>
  <c r="G17" i="22"/>
  <c r="K17" i="22"/>
  <c r="L17" i="22"/>
  <c r="N17" i="22"/>
  <c r="D18" i="22"/>
  <c r="G18" i="22"/>
  <c r="K18" i="22"/>
  <c r="L18" i="22"/>
  <c r="N18" i="22"/>
  <c r="D19" i="22"/>
  <c r="G19" i="22"/>
  <c r="K19" i="22"/>
  <c r="L19" i="22"/>
  <c r="N19" i="22"/>
  <c r="D20" i="22"/>
  <c r="G20" i="22"/>
  <c r="K20" i="22"/>
  <c r="L20" i="22"/>
  <c r="N20" i="22"/>
  <c r="D21" i="22"/>
  <c r="G21" i="22"/>
  <c r="K21" i="22"/>
  <c r="L21" i="22"/>
  <c r="N21" i="22"/>
  <c r="D22" i="22"/>
  <c r="G22" i="22"/>
  <c r="K22" i="22"/>
  <c r="L22" i="22"/>
  <c r="N22" i="22"/>
  <c r="G23" i="22"/>
  <c r="K23" i="22"/>
  <c r="L23" i="22"/>
  <c r="N23" i="22"/>
  <c r="G24" i="22"/>
  <c r="K24" i="22"/>
  <c r="L24" i="22"/>
  <c r="N24" i="22"/>
  <c r="G25" i="22"/>
  <c r="K25" i="22"/>
  <c r="L25" i="22"/>
  <c r="N25" i="22"/>
  <c r="G26" i="22"/>
  <c r="K26" i="22"/>
  <c r="L26" i="22"/>
  <c r="N26" i="22"/>
  <c r="G27" i="22"/>
  <c r="K27" i="22"/>
  <c r="L27" i="22"/>
  <c r="N27" i="22"/>
  <c r="G28" i="22"/>
  <c r="K28" i="22"/>
  <c r="L28" i="22"/>
  <c r="N28" i="22"/>
  <c r="G29" i="22"/>
  <c r="K29" i="22"/>
  <c r="L29" i="22"/>
  <c r="N29" i="22"/>
  <c r="G30" i="22"/>
  <c r="K30" i="22"/>
  <c r="L30" i="22"/>
  <c r="N30" i="22"/>
  <c r="G31" i="22"/>
  <c r="K31" i="22"/>
  <c r="L31" i="22"/>
  <c r="N31" i="22"/>
  <c r="G32" i="22"/>
  <c r="K32" i="22"/>
  <c r="L32" i="22"/>
  <c r="N32" i="22"/>
  <c r="G33" i="22"/>
  <c r="K33" i="22"/>
  <c r="L33" i="22"/>
  <c r="N33" i="22"/>
  <c r="G34" i="22"/>
  <c r="K34" i="22"/>
  <c r="L34" i="22"/>
  <c r="N34" i="22"/>
  <c r="G35" i="22"/>
  <c r="K35" i="22"/>
  <c r="L35" i="22"/>
  <c r="N35" i="22"/>
  <c r="G36" i="22"/>
  <c r="K36" i="22"/>
  <c r="L36" i="22"/>
  <c r="N36" i="22"/>
  <c r="G37" i="22"/>
  <c r="K37" i="22"/>
  <c r="L37" i="22"/>
  <c r="N37" i="22"/>
  <c r="G38" i="22"/>
  <c r="K38" i="22"/>
  <c r="L38" i="22"/>
  <c r="N38" i="22"/>
  <c r="G39" i="22"/>
  <c r="K39" i="22"/>
  <c r="L39" i="22"/>
  <c r="N39" i="22"/>
  <c r="G40" i="22"/>
  <c r="K40" i="22"/>
  <c r="L40" i="22"/>
  <c r="N40" i="22"/>
  <c r="G41" i="22"/>
  <c r="K41" i="22"/>
  <c r="L41" i="22"/>
  <c r="N41" i="22"/>
  <c r="G42" i="22"/>
  <c r="K42" i="22"/>
  <c r="L42" i="22"/>
  <c r="N42" i="22"/>
  <c r="G43" i="22"/>
  <c r="K43" i="22"/>
  <c r="L43" i="22"/>
  <c r="N43" i="22"/>
  <c r="G44" i="22"/>
  <c r="K44" i="22"/>
  <c r="L44" i="22"/>
  <c r="N44" i="22"/>
  <c r="G45" i="22"/>
  <c r="K45" i="22"/>
  <c r="L45" i="22"/>
  <c r="N45" i="22"/>
  <c r="G46" i="22"/>
  <c r="K46" i="22"/>
  <c r="L46" i="22"/>
  <c r="N46" i="22"/>
  <c r="G47" i="22"/>
  <c r="K47" i="22"/>
  <c r="L47" i="22"/>
  <c r="N47" i="22"/>
  <c r="G48" i="22"/>
  <c r="K48" i="22"/>
  <c r="L48" i="22"/>
  <c r="N48" i="22"/>
  <c r="G49" i="22"/>
  <c r="K49" i="22"/>
  <c r="L49" i="22"/>
  <c r="N49" i="22"/>
  <c r="G50" i="22"/>
  <c r="K50" i="22"/>
  <c r="L50" i="22"/>
  <c r="N50" i="22"/>
  <c r="G51" i="22"/>
  <c r="G52" i="22"/>
  <c r="G53" i="22"/>
  <c r="G54" i="22"/>
  <c r="G55" i="22"/>
  <c r="G56" i="22"/>
  <c r="G57" i="22"/>
  <c r="G58" i="22"/>
  <c r="G59" i="22"/>
  <c r="G60" i="22"/>
  <c r="A1" i="4"/>
  <c r="H8" i="4"/>
  <c r="H9" i="4"/>
  <c r="H10" i="4"/>
  <c r="H11" i="4"/>
  <c r="H12" i="4"/>
  <c r="H13" i="4"/>
  <c r="H14" i="4"/>
  <c r="H15" i="4"/>
  <c r="C16" i="4"/>
  <c r="H16" i="4"/>
  <c r="I20" i="4"/>
  <c r="I21" i="4"/>
  <c r="I22" i="4"/>
  <c r="C23" i="4"/>
  <c r="H23" i="4"/>
  <c r="H27" i="4"/>
  <c r="I27" i="4"/>
  <c r="H28" i="4"/>
  <c r="I28" i="4"/>
  <c r="H29" i="4"/>
  <c r="I29" i="4"/>
  <c r="H30" i="4"/>
  <c r="I30" i="4"/>
  <c r="H31" i="4"/>
  <c r="I31" i="4"/>
  <c r="H32" i="4"/>
  <c r="I32" i="4"/>
  <c r="H33" i="4"/>
  <c r="I33" i="4"/>
  <c r="H34" i="4"/>
  <c r="I34" i="4"/>
  <c r="H35" i="4"/>
  <c r="I35" i="4"/>
  <c r="H36" i="4"/>
  <c r="I36" i="4"/>
  <c r="C37" i="4"/>
  <c r="H3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Lützelschwab</author>
  </authors>
  <commentList>
    <comment ref="L53" authorId="0" shapeId="0" xr:uid="{D78D2D1D-2274-4342-A5A1-F39A5715B022}">
      <text>
        <r>
          <rPr>
            <b/>
            <sz val="9"/>
            <color indexed="81"/>
            <rFont val="Tahoma"/>
            <family val="2"/>
          </rPr>
          <t>Pacht</t>
        </r>
      </text>
    </comment>
    <comment ref="L54" authorId="0" shapeId="0" xr:uid="{6CA0E782-49AC-4C98-8FBA-85936FA3156E}">
      <text>
        <r>
          <rPr>
            <b/>
            <sz val="9"/>
            <color indexed="81"/>
            <rFont val="Tahoma"/>
            <family val="2"/>
          </rPr>
          <t>Eigentum</t>
        </r>
      </text>
    </comment>
  </commentList>
</comments>
</file>

<file path=xl/sharedStrings.xml><?xml version="1.0" encoding="utf-8"?>
<sst xmlns="http://schemas.openxmlformats.org/spreadsheetml/2006/main" count="1014" uniqueCount="551">
  <si>
    <t>Ware / Produkt</t>
  </si>
  <si>
    <t>Menge</t>
  </si>
  <si>
    <t>Preis</t>
  </si>
  <si>
    <t>Wert</t>
  </si>
  <si>
    <t>Getreidebau:</t>
  </si>
  <si>
    <t>dt</t>
  </si>
  <si>
    <t>¨</t>
  </si>
  <si>
    <t>Stück am</t>
  </si>
  <si>
    <t>Stichtag</t>
  </si>
  <si>
    <t>Total</t>
  </si>
  <si>
    <t>Total Rindvieh Zucht und Nutzung</t>
  </si>
  <si>
    <t>Grossviehmast</t>
  </si>
  <si>
    <t>Total Grossviehmast</t>
  </si>
  <si>
    <t>Stück am Stichtag</t>
  </si>
  <si>
    <t>Fr.</t>
  </si>
  <si>
    <t>1100 / 4311</t>
  </si>
  <si>
    <t xml:space="preserve">Milchkühe </t>
  </si>
  <si>
    <t xml:space="preserve">Mutterkühe </t>
  </si>
  <si>
    <t>1101 / 4311</t>
  </si>
  <si>
    <t>Rinder über 2-jährig</t>
  </si>
  <si>
    <t xml:space="preserve">Rinder 1- bis 2-jährig </t>
  </si>
  <si>
    <t>1110 / 4311</t>
  </si>
  <si>
    <t>kg</t>
  </si>
  <si>
    <t>Wert pro Stück in Franken</t>
  </si>
  <si>
    <t xml:space="preserve">Wert Total                  </t>
  </si>
  <si>
    <t xml:space="preserve">Mastkälber </t>
  </si>
  <si>
    <t>Milch- / Mutterkühe</t>
  </si>
  <si>
    <t>Name ev. Nr. der Tiere</t>
  </si>
  <si>
    <t>in Franken</t>
  </si>
  <si>
    <t>Übertrag</t>
  </si>
  <si>
    <t>Geboren</t>
  </si>
  <si>
    <t>Tag</t>
  </si>
  <si>
    <t>Monat</t>
  </si>
  <si>
    <t>Name, Nr. Box, Gruppe</t>
  </si>
  <si>
    <t>Stück per Stichtag</t>
  </si>
  <si>
    <t xml:space="preserve">Total </t>
  </si>
  <si>
    <t xml:space="preserve">Total  </t>
  </si>
  <si>
    <t>Schweinehaltung</t>
  </si>
  <si>
    <t>Ankauf in Stück</t>
  </si>
  <si>
    <t>Verkauf in Stück</t>
  </si>
  <si>
    <t>Fr./Stk.</t>
  </si>
  <si>
    <t>Pferdehaltung</t>
  </si>
  <si>
    <t>Wert pro Stück</t>
  </si>
  <si>
    <t>1140 / 4409</t>
  </si>
  <si>
    <t>Geflügel</t>
  </si>
  <si>
    <t>Übrige Tiere</t>
  </si>
  <si>
    <t>Schafe</t>
  </si>
  <si>
    <t>Lämmer</t>
  </si>
  <si>
    <t>Ziegen</t>
  </si>
  <si>
    <t>Bestand am Stichtag in Stück</t>
  </si>
  <si>
    <t>1120 / 4411</t>
  </si>
  <si>
    <t xml:space="preserve">Eber </t>
  </si>
  <si>
    <t xml:space="preserve">Mutterschweine </t>
  </si>
  <si>
    <t xml:space="preserve">Erstlen </t>
  </si>
  <si>
    <t xml:space="preserve">Zuchtjager </t>
  </si>
  <si>
    <t xml:space="preserve">Ferkel  1 Woche </t>
  </si>
  <si>
    <t xml:space="preserve">Ferkel  2 Wochen </t>
  </si>
  <si>
    <t xml:space="preserve">Ferkel  3 Wochen </t>
  </si>
  <si>
    <t xml:space="preserve">Ferkel  4 Wochen </t>
  </si>
  <si>
    <t xml:space="preserve">Ferkel  5 Wochen </t>
  </si>
  <si>
    <t xml:space="preserve">Ferkel  6 Wochen </t>
  </si>
  <si>
    <t xml:space="preserve">Ferkel  7 Wochen </t>
  </si>
  <si>
    <t xml:space="preserve">Jager  à  18 kg </t>
  </si>
  <si>
    <r>
      <t xml:space="preserve">Mastschweine </t>
    </r>
    <r>
      <rPr>
        <sz val="8"/>
        <rFont val="Arial"/>
        <family val="2"/>
      </rPr>
      <t xml:space="preserve">à 50 kg </t>
    </r>
  </si>
  <si>
    <r>
      <t xml:space="preserve">Mastschweine </t>
    </r>
    <r>
      <rPr>
        <sz val="8"/>
        <rFont val="Arial"/>
        <family val="2"/>
      </rPr>
      <t xml:space="preserve">à 60 kg </t>
    </r>
  </si>
  <si>
    <r>
      <t xml:space="preserve">Mastschweine </t>
    </r>
    <r>
      <rPr>
        <sz val="8"/>
        <rFont val="Arial"/>
        <family val="2"/>
      </rPr>
      <t xml:space="preserve">à 70 kg </t>
    </r>
  </si>
  <si>
    <r>
      <t xml:space="preserve">Mastschweine </t>
    </r>
    <r>
      <rPr>
        <sz val="8"/>
        <rFont val="Arial"/>
        <family val="2"/>
      </rPr>
      <t xml:space="preserve">à 80 kg </t>
    </r>
  </si>
  <si>
    <r>
      <t xml:space="preserve">Mastschweine </t>
    </r>
    <r>
      <rPr>
        <sz val="8"/>
        <rFont val="Arial"/>
        <family val="2"/>
      </rPr>
      <t xml:space="preserve">à 90 kg </t>
    </r>
  </si>
  <si>
    <r>
      <t xml:space="preserve">Mastschweine </t>
    </r>
    <r>
      <rPr>
        <sz val="8"/>
        <rFont val="Arial"/>
        <family val="2"/>
      </rPr>
      <t xml:space="preserve">à 100 kg </t>
    </r>
  </si>
  <si>
    <t>Stück am Anfang</t>
  </si>
  <si>
    <t>Gewicht Total</t>
  </si>
  <si>
    <t>Total in Franken</t>
  </si>
  <si>
    <t>Wert pro                           Stück / kg</t>
  </si>
  <si>
    <t>Stk.</t>
  </si>
  <si>
    <t>1130 / 4444</t>
  </si>
  <si>
    <t xml:space="preserve">Legehennen </t>
  </si>
  <si>
    <t>Betrag in Franken</t>
  </si>
  <si>
    <t>Konto Nr.</t>
  </si>
  <si>
    <t>Total / Übertrag</t>
  </si>
  <si>
    <r>
      <t xml:space="preserve">Genaue Bezeichnung </t>
    </r>
    <r>
      <rPr>
        <b/>
        <sz val="9"/>
        <rFont val="Arial"/>
        <family val="2"/>
      </rPr>
      <t>(z. B. Milchgeld Dez.)</t>
    </r>
  </si>
  <si>
    <t>Name u. Wohnort des Schuldners</t>
  </si>
  <si>
    <t>Art des Kontos / Wertschrift und Bank</t>
  </si>
  <si>
    <t>Bruttozins für akt. Buchhaltungsjahr</t>
  </si>
  <si>
    <t>Verrechnungs-steuerabzug</t>
  </si>
  <si>
    <t>Guthaben (Saldo) per Stichtag</t>
  </si>
  <si>
    <t xml:space="preserve">Angaben über die in der Buchhaltung bzw. Steuererklärung aufgeführten Sparhefte, Privatkonti, </t>
  </si>
  <si>
    <t>Name u. Wohnort des Gläubigers</t>
  </si>
  <si>
    <r>
      <t xml:space="preserve">Genaue Bezeichnung </t>
    </r>
    <r>
      <rPr>
        <b/>
        <sz val="9"/>
        <rFont val="Arial"/>
        <family val="2"/>
      </rPr>
      <t>(z. B. Telefon Dez.)</t>
    </r>
  </si>
  <si>
    <t>Darlehensgeber (Gläubiger)</t>
  </si>
  <si>
    <t>Bestand am Anfang</t>
  </si>
  <si>
    <t>Neue Schulden</t>
  </si>
  <si>
    <t>Amortisation / Abzahlung</t>
  </si>
  <si>
    <t>Bestand in Fr. am Stichtag</t>
  </si>
  <si>
    <t>Zins- satz</t>
  </si>
  <si>
    <r>
      <t>m</t>
    </r>
    <r>
      <rPr>
        <vertAlign val="superscript"/>
        <sz val="8"/>
        <rFont val="Arial"/>
        <family val="2"/>
      </rPr>
      <t>3</t>
    </r>
  </si>
  <si>
    <t>Stroh lose</t>
  </si>
  <si>
    <t>ÜBERTRAG</t>
  </si>
  <si>
    <t>Hackfruchtbau:</t>
  </si>
  <si>
    <t>Gemüse *):</t>
  </si>
  <si>
    <t>l</t>
  </si>
  <si>
    <t>Ster</t>
  </si>
  <si>
    <t>Weinbau *):</t>
  </si>
  <si>
    <t>Waldbau:</t>
  </si>
  <si>
    <t>Andere Erzeugnisse:</t>
  </si>
  <si>
    <t xml:space="preserve">Brotweizen </t>
  </si>
  <si>
    <t>Roggen</t>
  </si>
  <si>
    <t xml:space="preserve">Korn / Dinkel </t>
  </si>
  <si>
    <t xml:space="preserve">Gerste </t>
  </si>
  <si>
    <t xml:space="preserve">Hafer </t>
  </si>
  <si>
    <t>Triticale</t>
  </si>
  <si>
    <t xml:space="preserve">Körnermais </t>
  </si>
  <si>
    <t>Stroh in Quaderballen</t>
  </si>
  <si>
    <t xml:space="preserve">Eiweisserbsen </t>
  </si>
  <si>
    <t>Stroh in Kleinballen</t>
  </si>
  <si>
    <t xml:space="preserve">Stroh in Rundballen </t>
  </si>
  <si>
    <t xml:space="preserve">Heu u. Emd unbel. </t>
  </si>
  <si>
    <t xml:space="preserve">Heu u. Emd belüftet </t>
  </si>
  <si>
    <t xml:space="preserve">Heu u. Emd Kleinballen </t>
  </si>
  <si>
    <t xml:space="preserve">Heu u. Emd Rundballen </t>
  </si>
  <si>
    <t xml:space="preserve">Heu u. Emd Quaderb. </t>
  </si>
  <si>
    <t xml:space="preserve">Trockengras </t>
  </si>
  <si>
    <t xml:space="preserve">Gras siliert </t>
  </si>
  <si>
    <t xml:space="preserve">Grassiloballen </t>
  </si>
  <si>
    <t>Mais siliert</t>
  </si>
  <si>
    <t xml:space="preserve">Maissiloballen </t>
  </si>
  <si>
    <t xml:space="preserve">Mais ganz Pfl. getr. </t>
  </si>
  <si>
    <t xml:space="preserve">Futterrüben </t>
  </si>
  <si>
    <t xml:space="preserve">Total Vorräte für Eigenbedarf </t>
  </si>
  <si>
    <t>Speisekartoffeln</t>
  </si>
  <si>
    <t xml:space="preserve">Saatkartoffeln selbstpr. </t>
  </si>
  <si>
    <t>Futterkartoffeln</t>
  </si>
  <si>
    <t xml:space="preserve">Äpfel </t>
  </si>
  <si>
    <t xml:space="preserve">Birnen </t>
  </si>
  <si>
    <t>Most</t>
  </si>
  <si>
    <t xml:space="preserve">Branntwein </t>
  </si>
  <si>
    <t xml:space="preserve">Obstbaumholz </t>
  </si>
  <si>
    <t xml:space="preserve">Bauholz </t>
  </si>
  <si>
    <t xml:space="preserve">Hackholz </t>
  </si>
  <si>
    <t>Ammonsalpeter</t>
  </si>
  <si>
    <t>Kali</t>
  </si>
  <si>
    <t>Thomaskali</t>
  </si>
  <si>
    <t>Colzador</t>
  </si>
  <si>
    <t>Div. Dünger</t>
  </si>
  <si>
    <t>Dünger:</t>
  </si>
  <si>
    <t>Saatgut:</t>
  </si>
  <si>
    <t>Saatkartoffeln</t>
  </si>
  <si>
    <t>Div. Saatgut</t>
  </si>
  <si>
    <t>Pflanzenschutz / Schädlingsbekämpfung:</t>
  </si>
  <si>
    <t>Übriges Kraftfutter:</t>
  </si>
  <si>
    <t>Kraftfutter für Schweine:</t>
  </si>
  <si>
    <t>Andere Vorräte:</t>
  </si>
  <si>
    <t>Kraftfutter für Rindvieh:</t>
  </si>
  <si>
    <t>Div. Pflanzenschutz</t>
  </si>
  <si>
    <t>Dieselöl</t>
  </si>
  <si>
    <t>Benzin</t>
  </si>
  <si>
    <t>Oele</t>
  </si>
  <si>
    <t>Fette</t>
  </si>
  <si>
    <t>Heizöl</t>
  </si>
  <si>
    <t>Naturallieferungen</t>
  </si>
  <si>
    <t>Betriebshaushalt</t>
  </si>
  <si>
    <t>Wert in Fr.</t>
  </si>
  <si>
    <t>Obstprodukte:</t>
  </si>
  <si>
    <t>Übriges:</t>
  </si>
  <si>
    <r>
      <t>Stk</t>
    </r>
    <r>
      <rPr>
        <sz val="8"/>
        <rFont val="Arial"/>
        <family val="2"/>
      </rPr>
      <t>.</t>
    </r>
  </si>
  <si>
    <t>Nur wenn in der Buchhaltung als Betriebszweig aufgeführt:</t>
  </si>
  <si>
    <t xml:space="preserve">Honig </t>
  </si>
  <si>
    <t xml:space="preserve">Mietwert der Wohnung (gemäss Steuerveranlagung): </t>
  </si>
  <si>
    <t xml:space="preserve">Weizen </t>
  </si>
  <si>
    <t xml:space="preserve">Kartoffeln </t>
  </si>
  <si>
    <t xml:space="preserve">Äpfel / Birnen </t>
  </si>
  <si>
    <t xml:space="preserve">Kirschen </t>
  </si>
  <si>
    <t xml:space="preserve">Zwetschgen </t>
  </si>
  <si>
    <t xml:space="preserve">Süssmost / Gärmost </t>
  </si>
  <si>
    <t xml:space="preserve">Obstprodukte (pauschal) </t>
  </si>
  <si>
    <t xml:space="preserve">Holz aus eigenem Wald </t>
  </si>
  <si>
    <t xml:space="preserve">Milch </t>
  </si>
  <si>
    <t xml:space="preserve">Geflügel  </t>
  </si>
  <si>
    <t xml:space="preserve">Eier </t>
  </si>
  <si>
    <t>2271 / 5010</t>
  </si>
  <si>
    <t xml:space="preserve">Wein </t>
  </si>
  <si>
    <t>Kst</t>
  </si>
  <si>
    <t>Kultur</t>
  </si>
  <si>
    <t>Fläche in Aren</t>
  </si>
  <si>
    <t>Bemerkung zu den Kulturen</t>
  </si>
  <si>
    <t>Total offenes Ackerland</t>
  </si>
  <si>
    <t>Total Ackerland</t>
  </si>
  <si>
    <t>Total Kulturfläche</t>
  </si>
  <si>
    <t>Total Betriebsfläche</t>
  </si>
  <si>
    <t>Total Eigentum</t>
  </si>
  <si>
    <r>
      <t>Futterweizen</t>
    </r>
    <r>
      <rPr>
        <sz val="7"/>
        <rFont val="Arial"/>
        <family val="2"/>
      </rPr>
      <t xml:space="preserve"> </t>
    </r>
  </si>
  <si>
    <t>Ertrag pro Are</t>
  </si>
  <si>
    <r>
      <t>Gerste</t>
    </r>
    <r>
      <rPr>
        <sz val="7"/>
        <rFont val="Arial"/>
        <family val="2"/>
      </rPr>
      <t xml:space="preserve"> </t>
    </r>
  </si>
  <si>
    <r>
      <t xml:space="preserve">Hafer </t>
    </r>
    <r>
      <rPr>
        <sz val="7"/>
        <rFont val="Arial"/>
        <family val="2"/>
      </rPr>
      <t/>
    </r>
  </si>
  <si>
    <r>
      <t xml:space="preserve">Triticale </t>
    </r>
    <r>
      <rPr>
        <sz val="7"/>
        <rFont val="Arial"/>
        <family val="2"/>
      </rPr>
      <t/>
    </r>
  </si>
  <si>
    <r>
      <t>Körnermais</t>
    </r>
    <r>
      <rPr>
        <sz val="7"/>
        <rFont val="Arial"/>
        <family val="2"/>
      </rPr>
      <t xml:space="preserve"> </t>
    </r>
  </si>
  <si>
    <r>
      <t xml:space="preserve">Eiweisserbsen </t>
    </r>
    <r>
      <rPr>
        <sz val="7"/>
        <rFont val="Arial"/>
        <family val="2"/>
      </rPr>
      <t/>
    </r>
  </si>
  <si>
    <r>
      <t>Konservenerbsen</t>
    </r>
    <r>
      <rPr>
        <sz val="7"/>
        <rFont val="Arial"/>
        <family val="2"/>
      </rPr>
      <t xml:space="preserve"> </t>
    </r>
  </si>
  <si>
    <t xml:space="preserve">Roggen </t>
  </si>
  <si>
    <t xml:space="preserve">Korn </t>
  </si>
  <si>
    <t xml:space="preserve">Zuckerrüben </t>
  </si>
  <si>
    <r>
      <t>Raps</t>
    </r>
    <r>
      <rPr>
        <sz val="7"/>
        <rFont val="Arial"/>
        <family val="2"/>
      </rPr>
      <t xml:space="preserve"> </t>
    </r>
  </si>
  <si>
    <t>Soja</t>
  </si>
  <si>
    <t xml:space="preserve">Ackerbohnen </t>
  </si>
  <si>
    <t>Bohnen</t>
  </si>
  <si>
    <t>Gemüse</t>
  </si>
  <si>
    <t>Blumen</t>
  </si>
  <si>
    <r>
      <t>Silomais</t>
    </r>
    <r>
      <rPr>
        <sz val="7"/>
        <rFont val="Arial"/>
        <family val="2"/>
      </rPr>
      <t xml:space="preserve"> </t>
    </r>
  </si>
  <si>
    <t>Futterrüben</t>
  </si>
  <si>
    <t xml:space="preserve">Sonnenblumen </t>
  </si>
  <si>
    <t xml:space="preserve">Buntbrache </t>
  </si>
  <si>
    <t xml:space="preserve">Rotationsbrache </t>
  </si>
  <si>
    <t xml:space="preserve">Kunstwiese </t>
  </si>
  <si>
    <t>Naturwiese</t>
  </si>
  <si>
    <t xml:space="preserve">ext. Wiese </t>
  </si>
  <si>
    <t xml:space="preserve">Dauerweiden </t>
  </si>
  <si>
    <t xml:space="preserve">Reben </t>
  </si>
  <si>
    <t>Obstanlagen</t>
  </si>
  <si>
    <t>Beeren</t>
  </si>
  <si>
    <t xml:space="preserve">Streue, Hecken, Feldgehölze </t>
  </si>
  <si>
    <t>Wald</t>
  </si>
  <si>
    <t xml:space="preserve">Hofraum und Wege (Unproduktiv) </t>
  </si>
  <si>
    <t xml:space="preserve">Verpachtetes Land </t>
  </si>
  <si>
    <t>Davon Pachtland</t>
  </si>
  <si>
    <t xml:space="preserve">an Rindvieh verfüttert      </t>
  </si>
  <si>
    <t>%</t>
  </si>
  <si>
    <t>an Schweine verfüttert</t>
  </si>
  <si>
    <t>Verpflegungstage</t>
  </si>
  <si>
    <t>Geburtsdatum</t>
  </si>
  <si>
    <t>Faktor</t>
  </si>
  <si>
    <t>Arbeitstage</t>
  </si>
  <si>
    <t>AK</t>
  </si>
  <si>
    <t>Betrieb</t>
  </si>
  <si>
    <t>Nebenerwerb</t>
  </si>
  <si>
    <t xml:space="preserve">Meister </t>
  </si>
  <si>
    <t xml:space="preserve">Meisterin </t>
  </si>
  <si>
    <t xml:space="preserve">Kinder: </t>
  </si>
  <si>
    <t>Übrige Familienangehörige:</t>
  </si>
  <si>
    <t xml:space="preserve">Besuche: </t>
  </si>
  <si>
    <t>Ferienkinder:</t>
  </si>
  <si>
    <t>Total Privat</t>
  </si>
  <si>
    <t>Aushilfen:</t>
  </si>
  <si>
    <t>Total Betrieb</t>
  </si>
  <si>
    <t>Total Privat und Betrieb</t>
  </si>
  <si>
    <t>Verpfle-  gungstage im Jahr</t>
  </si>
  <si>
    <t>Total Verpfle- gungstage im Jahr</t>
  </si>
  <si>
    <t>Bemerkungen zu den Unterlagen:</t>
  </si>
  <si>
    <r>
      <t xml:space="preserve">Inventarveränderungen </t>
    </r>
    <r>
      <rPr>
        <sz val="9"/>
        <rFont val="Arial"/>
        <family val="2"/>
      </rPr>
      <t>(welche Positionen sollen aus dem Inventar gestrichen werden):</t>
    </r>
  </si>
  <si>
    <t>Kto. Nr. / Positions- Nr.:</t>
  </si>
  <si>
    <t>Abgang:</t>
  </si>
  <si>
    <t>Grund:</t>
  </si>
  <si>
    <t>Bsp.  1510005</t>
  </si>
  <si>
    <t>VW Passat</t>
  </si>
  <si>
    <t>Abbruch</t>
  </si>
  <si>
    <t>Datum der Veränderung:</t>
  </si>
  <si>
    <t>Zugang:</t>
  </si>
  <si>
    <r>
      <t xml:space="preserve">Angaben über Neubau / Umbau / Anlagen </t>
    </r>
    <r>
      <rPr>
        <sz val="8"/>
        <rFont val="Arial"/>
        <family val="2"/>
      </rPr>
      <t>(Wenn auf Ihrem Betrieb Neu- oder Umbauten gemacht werden, bitte ausfüllen):</t>
    </r>
  </si>
  <si>
    <t>Art des Bauprojektes:</t>
  </si>
  <si>
    <t>Voraussichtliche Baudauer:</t>
  </si>
  <si>
    <t>Ungefähre Baukosten:</t>
  </si>
  <si>
    <t>Bsp.  Neubau Güllengrube</t>
  </si>
  <si>
    <t>Wer führt das Kassenbuch ?</t>
  </si>
  <si>
    <t>Wer füllt die Inventarformulare aus ?</t>
  </si>
  <si>
    <t>Wer verbucht (PC-Programme) ?</t>
  </si>
  <si>
    <t>ANGABEN ÜBER NATURALLIEFERUNGEN</t>
  </si>
  <si>
    <t>I N V E N T A R</t>
  </si>
  <si>
    <t>per</t>
  </si>
  <si>
    <t>Adresse</t>
  </si>
  <si>
    <t>PLZ/Ort</t>
  </si>
  <si>
    <t>Bemerkungen</t>
  </si>
  <si>
    <t>Jager à  16 kg</t>
  </si>
  <si>
    <r>
      <t xml:space="preserve">Mastschweine </t>
    </r>
    <r>
      <rPr>
        <sz val="8"/>
        <rFont val="Arial"/>
        <family val="2"/>
      </rPr>
      <t xml:space="preserve">à 110 kg </t>
    </r>
  </si>
  <si>
    <r>
      <t xml:space="preserve">Mastschweine </t>
    </r>
    <r>
      <rPr>
        <sz val="8"/>
        <rFont val="Arial"/>
        <family val="2"/>
      </rPr>
      <t xml:space="preserve">à 120 kg </t>
    </r>
  </si>
  <si>
    <t>Name/Vorname</t>
  </si>
  <si>
    <t>freiwillige Angaben</t>
  </si>
  <si>
    <r>
      <t>Mastvieh über 300 kg LG</t>
    </r>
    <r>
      <rPr>
        <sz val="9"/>
        <color indexed="10"/>
        <rFont val="Arial"/>
        <family val="2"/>
      </rPr>
      <t xml:space="preserve"> </t>
    </r>
    <r>
      <rPr>
        <sz val="8"/>
        <color indexed="10"/>
        <rFont val="Arial"/>
        <family val="2"/>
      </rPr>
      <t>(Ø 400 kg)</t>
    </r>
  </si>
  <si>
    <r>
      <t>Kälber für Grossviehmast bis 150 kg LG</t>
    </r>
    <r>
      <rPr>
        <sz val="8"/>
        <rFont val="Arial"/>
        <family val="2"/>
      </rPr>
      <t xml:space="preserve"> </t>
    </r>
    <r>
      <rPr>
        <sz val="8"/>
        <color indexed="10"/>
        <rFont val="Arial"/>
        <family val="2"/>
      </rPr>
      <t>(Ø 100 kg)</t>
    </r>
  </si>
  <si>
    <t>Nr.</t>
  </si>
  <si>
    <t>Muni</t>
  </si>
  <si>
    <t>kg/
Stk.</t>
  </si>
  <si>
    <t>* Pferde</t>
  </si>
  <si>
    <t>Fohlen bis 1-jährig</t>
  </si>
  <si>
    <t>Junge Pferde, 2-jährig</t>
  </si>
  <si>
    <t>Pferde, 3- und mehrjährig</t>
  </si>
  <si>
    <r>
      <t xml:space="preserve">Name  </t>
    </r>
    <r>
      <rPr>
        <sz val="9"/>
        <color indexed="10"/>
        <rFont val="Arial"/>
        <family val="2"/>
      </rPr>
      <t xml:space="preserve"> </t>
    </r>
    <r>
      <rPr>
        <i/>
        <sz val="8"/>
        <color indexed="10"/>
        <rFont val="Arial"/>
        <family val="2"/>
      </rPr>
      <t>* Bewertung siehe Tabelle rechts</t>
    </r>
  </si>
  <si>
    <t>* Geflügel</t>
  </si>
  <si>
    <t>Maultiere</t>
  </si>
  <si>
    <t>Esel</t>
  </si>
  <si>
    <t>Mastpoulets</t>
  </si>
  <si>
    <t>Eintagsküken Fr./Stk.</t>
  </si>
  <si>
    <r>
      <t xml:space="preserve">* </t>
    </r>
    <r>
      <rPr>
        <i/>
        <sz val="9"/>
        <color indexed="10"/>
        <rFont val="Arial"/>
        <family val="2"/>
      </rPr>
      <t>Bewertung siehe Tabelle unten</t>
    </r>
  </si>
  <si>
    <t xml:space="preserve">Stück Stichtag </t>
  </si>
  <si>
    <t>Bewertungshilfe</t>
  </si>
  <si>
    <t>Bewertungshilfe Mastpoulets</t>
  </si>
  <si>
    <t xml:space="preserve">à Fr. </t>
  </si>
  <si>
    <t>Wochen</t>
  </si>
  <si>
    <t>à Fr.</t>
  </si>
  <si>
    <t>dazu Fr./Stk. und Woche +</t>
  </si>
  <si>
    <t>*</t>
  </si>
  <si>
    <t xml:space="preserve">Mastpoulets </t>
  </si>
  <si>
    <t>Truten/Strausse</t>
  </si>
  <si>
    <t>Masttruten/Strausse</t>
  </si>
  <si>
    <t>Vorsichtige Schätzung des Marktwertes</t>
  </si>
  <si>
    <t xml:space="preserve">* </t>
  </si>
  <si>
    <t>Anz.</t>
  </si>
  <si>
    <t>Jg.</t>
  </si>
  <si>
    <t>* Übrige Tiere</t>
  </si>
  <si>
    <t>Rothirsche bis 2 Jahre</t>
  </si>
  <si>
    <t>Rothirsche über 2 Jahre</t>
  </si>
  <si>
    <t xml:space="preserve">Kälber </t>
  </si>
  <si>
    <t>Rinder</t>
  </si>
  <si>
    <t xml:space="preserve">Schweine </t>
  </si>
  <si>
    <t>Getreide/Hackfrüchte</t>
  </si>
  <si>
    <t>Schaffleisch kg LG</t>
  </si>
  <si>
    <t>Ziegenfleisch kg LG</t>
  </si>
  <si>
    <t>Kirsch /Spezialitäten</t>
  </si>
  <si>
    <r>
      <t>Betrieb</t>
    </r>
    <r>
      <rPr>
        <b/>
        <sz val="11"/>
        <color indexed="10"/>
        <rFont val="Arial"/>
        <family val="2"/>
      </rPr>
      <t xml:space="preserve"> </t>
    </r>
    <r>
      <rPr>
        <b/>
        <sz val="8"/>
        <color indexed="10"/>
        <rFont val="Arial"/>
        <family val="2"/>
      </rPr>
      <t>(entlöhnte Familienangehörige, Angestellte und Aushilfen)</t>
    </r>
    <r>
      <rPr>
        <b/>
        <sz val="9"/>
        <color indexed="10"/>
        <rFont val="Arial"/>
        <family val="2"/>
      </rPr>
      <t>:</t>
    </r>
  </si>
  <si>
    <t>Dat.</t>
  </si>
  <si>
    <t>format</t>
  </si>
  <si>
    <t>DATUM EFFEKTIV</t>
  </si>
  <si>
    <t>DATUMSWERT (FORMEL)</t>
  </si>
  <si>
    <t>BEWERTUNG</t>
  </si>
  <si>
    <t>Vorräte:</t>
  </si>
  <si>
    <t>V</t>
  </si>
  <si>
    <t xml:space="preserve">Maiskolbenschrot getr. </t>
  </si>
  <si>
    <t>CCM-Würfel</t>
  </si>
  <si>
    <t>Bitte beachten Sie noch folgende Punkte betreffend Ihren Buchhaltungsunterlagen:</t>
  </si>
  <si>
    <t>(m3, dt, Stk. etc.) bereits mit dem entsprechenden Einheitswert bzw. Preis hinterlegt ist.</t>
  </si>
  <si>
    <r>
      <t>Bsp. Heu/Emd Ballen=</t>
    </r>
    <r>
      <rPr>
        <b/>
        <sz val="12"/>
        <rFont val="Arial"/>
        <family val="2"/>
      </rPr>
      <t>dt</t>
    </r>
    <r>
      <rPr>
        <sz val="12"/>
        <rFont val="Arial"/>
        <family val="2"/>
      </rPr>
      <t>, Brennholz=</t>
    </r>
    <r>
      <rPr>
        <b/>
        <sz val="12"/>
        <rFont val="Arial"/>
        <family val="2"/>
      </rPr>
      <t>Ster</t>
    </r>
    <r>
      <rPr>
        <sz val="12"/>
        <rFont val="Arial"/>
        <family val="2"/>
      </rPr>
      <t>, Grassiloballen=</t>
    </r>
    <r>
      <rPr>
        <b/>
        <sz val="12"/>
        <rFont val="Arial"/>
        <family val="2"/>
      </rPr>
      <t>Stk</t>
    </r>
    <r>
      <rPr>
        <sz val="12"/>
        <rFont val="Arial"/>
        <family val="2"/>
      </rPr>
      <t>., Mais siliert=</t>
    </r>
    <r>
      <rPr>
        <b/>
        <sz val="12"/>
        <rFont val="Arial"/>
        <family val="2"/>
      </rPr>
      <t>m3</t>
    </r>
    <r>
      <rPr>
        <sz val="12"/>
        <rFont val="Arial"/>
        <family val="2"/>
      </rPr>
      <t xml:space="preserve"> etc. </t>
    </r>
  </si>
  <si>
    <t xml:space="preserve">Tragen Sie den effektiven Kassenbestand (Bargeld) per Ende Jahr auf dem Dezember-Rapport </t>
  </si>
  <si>
    <t xml:space="preserve">Wenn wir Ihre Steuererklärung ausfüllen sollen, bitten wir Sie, uns diese umgehend nach Erhalt (vor Ablauf der Frist) </t>
  </si>
  <si>
    <t xml:space="preserve">Vorräte, welche ausschliesslich für den Verkauf produziert werden, sind mit einem „V“ zu kennzeichnen. </t>
  </si>
  <si>
    <t xml:space="preserve">Wellen </t>
  </si>
  <si>
    <t>Div. Schweinefutter</t>
  </si>
  <si>
    <t>Div.Viehfutter</t>
  </si>
  <si>
    <t>Eltern</t>
  </si>
  <si>
    <t>Angestellte / Aushilfen</t>
  </si>
  <si>
    <r>
      <t xml:space="preserve">Bei Vorräten, die </t>
    </r>
    <r>
      <rPr>
        <u/>
        <sz val="12"/>
        <rFont val="Arial"/>
        <family val="2"/>
      </rPr>
      <t>ausschliesslich für den Weiterverkauf</t>
    </r>
    <r>
      <rPr>
        <sz val="12"/>
        <rFont val="Arial"/>
        <family val="2"/>
      </rPr>
      <t xml:space="preserve"> </t>
    </r>
    <r>
      <rPr>
        <sz val="12"/>
        <rFont val="Arial"/>
        <family val="2"/>
      </rPr>
      <t xml:space="preserve">produziert wurden (eigener Betriebszweig: </t>
    </r>
  </si>
  <si>
    <t>Jahrgang</t>
  </si>
  <si>
    <t>Bienenvölker</t>
  </si>
  <si>
    <t>Wert Total in Fr.</t>
  </si>
  <si>
    <t xml:space="preserve">Total in Fr. </t>
  </si>
  <si>
    <t xml:space="preserve">Wert Total in Fr. </t>
  </si>
  <si>
    <t xml:space="preserve">Wert in Fr. </t>
  </si>
  <si>
    <t>VERPFLEGUNGS- /ARBEITSKONTROLLE</t>
  </si>
  <si>
    <r>
      <t>Privat</t>
    </r>
    <r>
      <rPr>
        <b/>
        <sz val="9"/>
        <color indexed="10"/>
        <rFont val="Arial"/>
        <family val="2"/>
      </rPr>
      <t xml:space="preserve"> </t>
    </r>
    <r>
      <rPr>
        <b/>
        <sz val="7"/>
        <color indexed="10"/>
        <rFont val="Arial"/>
        <family val="2"/>
      </rPr>
      <t>(ohne entlöhnte Familienangehörige)</t>
    </r>
    <r>
      <rPr>
        <b/>
        <sz val="9"/>
        <color indexed="10"/>
        <rFont val="Arial"/>
        <family val="2"/>
      </rPr>
      <t>:</t>
    </r>
  </si>
  <si>
    <t>300 Tage = 1 AK</t>
  </si>
  <si>
    <t>Dosen</t>
  </si>
  <si>
    <r>
      <t xml:space="preserve">Feldinventar </t>
    </r>
    <r>
      <rPr>
        <sz val="8"/>
        <rFont val="Arial"/>
        <family val="2"/>
      </rPr>
      <t xml:space="preserve">  Für DfE-Abschluss   Bitte ein sep. Blatt aus-</t>
    </r>
  </si>
  <si>
    <r>
      <t xml:space="preserve">Total                          </t>
    </r>
    <r>
      <rPr>
        <b/>
        <sz val="8"/>
        <rFont val="Arial"/>
        <family val="2"/>
      </rPr>
      <t xml:space="preserve"> 1100 / 4311</t>
    </r>
  </si>
  <si>
    <t>Vorjahr</t>
  </si>
  <si>
    <t>RV Zucht u. Nutzung</t>
  </si>
  <si>
    <t>Æ</t>
  </si>
  <si>
    <t>Kühe</t>
  </si>
  <si>
    <t>4310/4311</t>
  </si>
  <si>
    <t>TOTAL GVE</t>
  </si>
  <si>
    <t>*)   nur ausfüllen, wenn Betriebszweig geführt wird</t>
  </si>
  <si>
    <t xml:space="preserve">Aufzuchtkälber unter 4 Monate alt </t>
  </si>
  <si>
    <t>EINGABE-FELDER:</t>
  </si>
  <si>
    <t>Veränderung a</t>
  </si>
  <si>
    <t>Bio</t>
  </si>
  <si>
    <t>IP</t>
  </si>
  <si>
    <t>Konventionell</t>
  </si>
  <si>
    <t>Betriebstyp:</t>
  </si>
  <si>
    <t>Geflügelhaltung</t>
  </si>
  <si>
    <t>Andere</t>
  </si>
  <si>
    <t>Rindviehhaltung</t>
  </si>
  <si>
    <t>Label:</t>
  </si>
  <si>
    <t>Tel.-Nr. Zentrale: 061 976 95 30</t>
  </si>
  <si>
    <t>Kontakt: info@lerch-treuhand.ch</t>
  </si>
  <si>
    <t>Fax-Nr. Zentrale:  061 971 35 26</t>
  </si>
  <si>
    <t>HINWEISE ZUM AUSFÜLLEN:</t>
  </si>
  <si>
    <t>Träsch/Branntwein</t>
  </si>
  <si>
    <t xml:space="preserve">Legen Sie die Bankauszüge, Zinsausweise und Kopien sämtlicher Sparhefte bei (bitte die beiden letzteren auch beim </t>
  </si>
  <si>
    <t>Benutzen von Buchhaltungsprogrammen).</t>
  </si>
  <si>
    <t xml:space="preserve">Jungvieh zur Zucht, 4 - 12 Monate alt </t>
  </si>
  <si>
    <r>
      <t xml:space="preserve">Zuchtstiere </t>
    </r>
    <r>
      <rPr>
        <u/>
        <sz val="9"/>
        <rFont val="Arial"/>
        <family val="2"/>
      </rPr>
      <t>älter als 1 Jahr</t>
    </r>
  </si>
  <si>
    <t>Kirsch / Spezialitäten</t>
  </si>
  <si>
    <t>Pellets</t>
  </si>
  <si>
    <t>t</t>
  </si>
  <si>
    <r>
      <t xml:space="preserve">Holz </t>
    </r>
    <r>
      <rPr>
        <b/>
        <sz val="8"/>
        <rFont val="Arial"/>
        <family val="2"/>
      </rPr>
      <t>zugekauft</t>
    </r>
  </si>
  <si>
    <r>
      <t xml:space="preserve">Stroh </t>
    </r>
    <r>
      <rPr>
        <b/>
        <sz val="8"/>
        <rFont val="Arial"/>
        <family val="2"/>
      </rPr>
      <t>zugekauft</t>
    </r>
  </si>
  <si>
    <r>
      <t xml:space="preserve">ZR-Schnitzelballen </t>
    </r>
    <r>
      <rPr>
        <b/>
        <sz val="7"/>
        <rFont val="Arial"/>
        <family val="2"/>
      </rPr>
      <t xml:space="preserve">zugek. </t>
    </r>
  </si>
  <si>
    <t>GEERNTETE FLÄCHE!</t>
  </si>
  <si>
    <t xml:space="preserve">Düngerstreuer </t>
  </si>
  <si>
    <t xml:space="preserve">Bemerkungen: </t>
  </si>
  <si>
    <t>Zum Berechnen der Veränderung Pachtland/Eigenland
bitte ausfüllen:</t>
  </si>
  <si>
    <t>=</t>
  </si>
  <si>
    <t>+</t>
  </si>
  <si>
    <t>-</t>
  </si>
  <si>
    <r>
      <t>Landw. Nutzfläche</t>
    </r>
    <r>
      <rPr>
        <b/>
        <sz val="9"/>
        <color indexed="10"/>
        <rFont val="Arial"/>
        <family val="2"/>
      </rPr>
      <t xml:space="preserve"> </t>
    </r>
    <r>
      <rPr>
        <b/>
        <sz val="7"/>
        <color indexed="10"/>
        <rFont val="Arial"/>
        <family val="2"/>
      </rPr>
      <t>(Direktzahlungen)</t>
    </r>
  </si>
  <si>
    <r>
      <t xml:space="preserve">Veränderung der Flächen: </t>
    </r>
    <r>
      <rPr>
        <sz val="8"/>
        <rFont val="Arial"/>
        <family val="2"/>
      </rPr>
      <t>Bitte zutreffendes markieren</t>
    </r>
  </si>
  <si>
    <r>
      <t xml:space="preserve">ZR-Schnitzel </t>
    </r>
    <r>
      <rPr>
        <b/>
        <sz val="7"/>
        <rFont val="Arial"/>
        <family val="2"/>
      </rPr>
      <t>zugek</t>
    </r>
    <r>
      <rPr>
        <sz val="7"/>
        <rFont val="Arial"/>
        <family val="2"/>
      </rPr>
      <t>. lose</t>
    </r>
  </si>
  <si>
    <t xml:space="preserve">Futterweizen  </t>
  </si>
  <si>
    <t>Mutterkuhkälber</t>
  </si>
  <si>
    <t>BEMERKUNGEN</t>
  </si>
  <si>
    <t>zu den Inventar-Formularen im Internet:</t>
  </si>
  <si>
    <t xml:space="preserve">Diverse Mitteilungen/Anmerkungen/Wünsche etc. </t>
  </si>
  <si>
    <t>Name</t>
  </si>
  <si>
    <t>Bewertung
 BH</t>
  </si>
  <si>
    <t>Zukauf</t>
  </si>
  <si>
    <r>
      <t xml:space="preserve">Anderes </t>
    </r>
    <r>
      <rPr>
        <sz val="6"/>
        <rFont val="Arial"/>
        <family val="2"/>
      </rPr>
      <t>(Schenkung etc.)</t>
    </r>
  </si>
  <si>
    <t>Jahr-gang</t>
  </si>
  <si>
    <t xml:space="preserve">TOTAL      </t>
  </si>
  <si>
    <t>1140/4409</t>
  </si>
  <si>
    <t>Gesellschaftsform:</t>
  </si>
  <si>
    <t>Bsp. Gen.gem., BZG, Betriebsgemeinschaft</t>
  </si>
  <si>
    <t xml:space="preserve">Die meisten Bewertungsfelder wurden von uns bereits mit Einheitswerten versehen. Es sind jedoch </t>
  </si>
  <si>
    <r>
      <t>DETAIL-VIEHBESTAND</t>
    </r>
    <r>
      <rPr>
        <sz val="12"/>
        <rFont val="Arial"/>
        <family val="2"/>
      </rPr>
      <t/>
    </r>
  </si>
  <si>
    <t>DETAIL-VIEHBESTAND</t>
  </si>
  <si>
    <t xml:space="preserve">SELBSTPRODUZIERTE VORRÄTE </t>
  </si>
  <si>
    <t xml:space="preserve">ZUGEKAUFTE VORRÄTE </t>
  </si>
  <si>
    <t>dazwischen noch leere Felder vorhanden, die vom Kunden selber ausgefüllt werden können.</t>
  </si>
  <si>
    <t>Bei den Vorräten ist speziell zu beachten, dass die übliche Mengenangabe</t>
  </si>
  <si>
    <t>RINDVIEH</t>
  </si>
  <si>
    <t>ALLGEMEINE ANGABEN ÜBER DAS BUCHHALTUNGSJAHR</t>
  </si>
  <si>
    <t>PFERDE</t>
  </si>
  <si>
    <t xml:space="preserve">Bei mehreren Teilhabern (BG/Gen.gem. etc. ) bitte auf </t>
  </si>
  <si>
    <t>Blatt "Bemerkungen" ergänzen.</t>
  </si>
  <si>
    <t>Die anderen Zellen sind schreibgeschützt (Formeln etc.).</t>
  </si>
  <si>
    <r>
      <t xml:space="preserve">Falls Sie </t>
    </r>
    <r>
      <rPr>
        <b/>
        <i/>
        <u/>
        <sz val="11"/>
        <rFont val="Arial"/>
        <family val="2"/>
      </rPr>
      <t>andere Mengenangaben</t>
    </r>
    <r>
      <rPr>
        <b/>
        <i/>
        <sz val="11"/>
        <rFont val="Arial"/>
        <family val="2"/>
      </rPr>
      <t xml:space="preserve"> haben (Bsp. Grassiloballen in m3, statt in Stück), müssen Sie diese 
</t>
    </r>
  </si>
  <si>
    <t>ALLES AUSGEFÜLLT?</t>
  </si>
  <si>
    <t>eigenes Fohlen</t>
  </si>
  <si>
    <t>im Buchhaltungsjahr</t>
  </si>
  <si>
    <t>Versicherungswert
oder
Kaufpreis</t>
  </si>
  <si>
    <t>HINWEISE ZUM AUSFÜLLEN DES INVENTARS IM EXCEL</t>
  </si>
  <si>
    <t xml:space="preserve"> (freiwillige Angaben)</t>
  </si>
  <si>
    <t>Festnetz- und Faxnummer/n</t>
  </si>
  <si>
    <t>Natelnummer/n</t>
  </si>
  <si>
    <t xml:space="preserve"> Bank- bzw. PC-Auszügen übereinstimmen.</t>
  </si>
  <si>
    <r>
      <t xml:space="preserve">REGISTER:*                                               </t>
    </r>
    <r>
      <rPr>
        <sz val="10"/>
        <rFont val="Arial"/>
        <family val="2"/>
      </rPr>
      <t xml:space="preserve"> *Anmerkung: Die Tabellen erscheinen nur farbig ab Office 2000.</t>
    </r>
  </si>
  <si>
    <t>Wichtig: Bitte Zukaufspreise bei Preis eintragen!</t>
  </si>
  <si>
    <t>E-Mailadresse/n und
Homepage</t>
  </si>
  <si>
    <t xml:space="preserve">Kassenbestand per 31.12.: </t>
  </si>
  <si>
    <t xml:space="preserve">Nr. </t>
  </si>
  <si>
    <t>WERTSCHRIFTEN / KASSENSALDO</t>
  </si>
  <si>
    <t>Konto Nr. / 
Valoren-Nr.</t>
  </si>
  <si>
    <t>Seite 2</t>
  </si>
  <si>
    <t>Total Seiten 1 + 2</t>
  </si>
  <si>
    <t>Übertrag von Seite 1</t>
  </si>
  <si>
    <t>Investitionskredite</t>
  </si>
  <si>
    <t>Hypotheken</t>
  </si>
  <si>
    <t>Andere feste Schulden (Darlehen)</t>
  </si>
  <si>
    <t>Lohnschulden</t>
  </si>
  <si>
    <t>SCHULDENVERZEICHNIS</t>
  </si>
  <si>
    <t>Wohnrechte</t>
  </si>
  <si>
    <t>Bei Bedarf werden diese Felder bewertungsmässig durch den Sachbearbeiter auf spezielle Betriebstypen angepasst!</t>
  </si>
  <si>
    <r>
      <t xml:space="preserve">entweder                  </t>
    </r>
    <r>
      <rPr>
        <b/>
        <i/>
        <sz val="11"/>
        <color indexed="10"/>
        <rFont val="Arial"/>
        <family val="2"/>
      </rPr>
      <t xml:space="preserve">selber auf die Stückzahl umrechnen 
</t>
    </r>
    <r>
      <rPr>
        <b/>
        <i/>
        <sz val="11"/>
        <rFont val="Arial"/>
        <family val="2"/>
      </rPr>
      <t xml:space="preserve">oder auf eine           </t>
    </r>
    <r>
      <rPr>
        <b/>
        <i/>
        <sz val="11"/>
        <color indexed="10"/>
        <rFont val="Arial"/>
        <family val="2"/>
      </rPr>
      <t>separate Zeile</t>
    </r>
    <r>
      <rPr>
        <b/>
        <i/>
        <sz val="11"/>
        <rFont val="Arial"/>
        <family val="2"/>
      </rPr>
      <t xml:space="preserve"> mit </t>
    </r>
    <r>
      <rPr>
        <b/>
        <i/>
        <sz val="11"/>
        <color indexed="10"/>
        <rFont val="Arial"/>
        <family val="2"/>
      </rPr>
      <t>entsprechender Einheit sowie Preis</t>
    </r>
    <r>
      <rPr>
        <b/>
        <i/>
        <sz val="11"/>
        <rFont val="Arial"/>
        <family val="2"/>
      </rPr>
      <t xml:space="preserve"> notieren.</t>
    </r>
  </si>
  <si>
    <t xml:space="preserve">LAUFENDE SCHULDEN (KREDITOREN) </t>
  </si>
  <si>
    <t xml:space="preserve">GUTHABEN (DEBITOREN) </t>
  </si>
  <si>
    <r>
      <t xml:space="preserve">Drucken Sie das ausgefüllte Inventar aus und schicken Sie es zusammen mit den weiteren Unterlagen für den Buchhaltungsabschluss an die 
</t>
    </r>
    <r>
      <rPr>
        <b/>
        <sz val="12"/>
        <rFont val="Arial"/>
        <family val="2"/>
      </rPr>
      <t xml:space="preserve">Lerch Treuhand AG, Gstaadmattstrasse 5, 4452 Itingen BL </t>
    </r>
    <r>
      <rPr>
        <sz val="12"/>
        <rFont val="Arial"/>
        <family val="2"/>
      </rPr>
      <t xml:space="preserve">
</t>
    </r>
  </si>
  <si>
    <t>Bemerkungen:</t>
  </si>
  <si>
    <t>Harnstoff</t>
  </si>
  <si>
    <t>Vieh im Aufzuchtvertrag</t>
  </si>
  <si>
    <t>1101/4311</t>
  </si>
  <si>
    <r>
      <t xml:space="preserve">bitte nur </t>
    </r>
    <r>
      <rPr>
        <u/>
        <sz val="12"/>
        <rFont val="Arial"/>
        <family val="2"/>
      </rPr>
      <t>eigene</t>
    </r>
    <r>
      <rPr>
        <sz val="12"/>
        <rFont val="Arial"/>
        <family val="2"/>
      </rPr>
      <t xml:space="preserve"> Pferde aufschreiben
</t>
    </r>
    <r>
      <rPr>
        <sz val="10"/>
        <rFont val="Arial"/>
        <family val="2"/>
      </rPr>
      <t xml:space="preserve"> (keine Pensionspferde/Ferienpferde und dergleichen)!</t>
    </r>
  </si>
  <si>
    <t>Angaben über Ihre aktuellen persönlichen Kontaktdaten</t>
  </si>
  <si>
    <t>Bitte keine Vorräte für den Haushalt angeben!</t>
  </si>
  <si>
    <r>
      <t xml:space="preserve">Bitte beachten Sie, dass nur die farbig hinterlegten Felder ausgefüllt werden können </t>
    </r>
    <r>
      <rPr>
        <sz val="8"/>
        <rFont val="Arial"/>
        <family val="2"/>
      </rPr>
      <t>(Text, Einheit, Preis, Zahl…)</t>
    </r>
  </si>
  <si>
    <r>
      <t>Gemüsebau, Weinbau etc.), kann im entsprechenden Feld</t>
    </r>
    <r>
      <rPr>
        <sz val="14"/>
        <color indexed="49"/>
        <rFont val="Arial"/>
        <family val="2"/>
      </rPr>
      <t xml:space="preserve"> </t>
    </r>
    <r>
      <rPr>
        <b/>
        <sz val="14"/>
        <color indexed="49"/>
        <rFont val="Arial"/>
        <family val="2"/>
      </rPr>
      <t xml:space="preserve">blau </t>
    </r>
    <r>
      <rPr>
        <sz val="12"/>
        <rFont val="Arial"/>
        <family val="2"/>
      </rPr>
      <t>der Buchstabe "</t>
    </r>
    <r>
      <rPr>
        <b/>
        <sz val="12"/>
        <rFont val="Arial"/>
        <family val="2"/>
      </rPr>
      <t>V</t>
    </r>
    <r>
      <rPr>
        <sz val="12"/>
        <rFont val="Arial"/>
        <family val="2"/>
      </rPr>
      <t xml:space="preserve">" eingesetzt werden. </t>
    </r>
  </si>
  <si>
    <t>Diese Vorräte werden dann auf ein sep. Konto gebucht (i.d.R. Kto. 1200, siehe Seite 9).</t>
  </si>
  <si>
    <t>nicht beigelegt werden).</t>
  </si>
  <si>
    <t>füllen oder mit Ihrer/m Mandatsleiter/in Kontakt aufnehmen</t>
  </si>
  <si>
    <t>und beachten Sie bitte: 1 dt = 1 q = 100 kg</t>
  </si>
  <si>
    <r>
      <t xml:space="preserve">oder im Inventar im Register "Wertschr._Kasse" ein. </t>
    </r>
    <r>
      <rPr>
        <b/>
        <sz val="11"/>
        <rFont val="Arial"/>
        <family val="2"/>
      </rPr>
      <t>Die Kasse darf nie negativ sein!</t>
    </r>
  </si>
  <si>
    <t>zur Buchhaltung/Steuererklärung:</t>
  </si>
  <si>
    <r>
      <t xml:space="preserve">Landwirtschaftskonti, Wertschriften und Anteilscheine </t>
    </r>
    <r>
      <rPr>
        <b/>
        <i/>
        <sz val="11"/>
        <rFont val="Arial"/>
        <family val="2"/>
      </rPr>
      <t xml:space="preserve">(nur ausfüllen, wenn die entsprechenden Belege </t>
    </r>
  </si>
  <si>
    <t>Bitte geben Sie uns Ihre aktuellen Kontaktdaten auf Formular "Allgemeine Angaben" (unten) an, falls neu.</t>
  </si>
  <si>
    <t>Bei den "zugekauften Vorräten" bitte den Kaufpreis eintragen (erleichtert uns die Vorbereitung der Buchhaltung).</t>
  </si>
  <si>
    <t>Bei den "Debitoren" und "Kreditoren" gibt es jeweils eine zusätzliche Seite.</t>
  </si>
  <si>
    <t>Bitte eigene Tiere in Aufzuchtverträgen im Register "Rindvieh" eingetragen.</t>
  </si>
  <si>
    <t>CCM siliert</t>
  </si>
  <si>
    <t xml:space="preserve">Differenz Pachtland </t>
  </si>
  <si>
    <t xml:space="preserve">Differenz Eigentum </t>
  </si>
  <si>
    <r>
      <t xml:space="preserve">
oder senden Sie uns das Inventar per E-Mail an die folgende Adresse
</t>
    </r>
    <r>
      <rPr>
        <b/>
        <sz val="12"/>
        <rFont val="Arial"/>
        <family val="2"/>
      </rPr>
      <t xml:space="preserve">info@lerch-treuhand.ch  </t>
    </r>
    <r>
      <rPr>
        <sz val="12"/>
        <rFont val="Arial"/>
        <family val="2"/>
      </rPr>
      <t xml:space="preserve">           oder 
an die bekannte Adresse </t>
    </r>
    <r>
      <rPr>
        <b/>
        <sz val="12"/>
        <rFont val="Arial"/>
        <family val="2"/>
      </rPr>
      <t xml:space="preserve">Ihrer Mandatsleiterin bzw. Ihres Mandatsleiters </t>
    </r>
    <r>
      <rPr>
        <sz val="12"/>
        <rFont val="Arial"/>
        <family val="2"/>
      </rPr>
      <t xml:space="preserve">
(diese können Sie unserer Website entnehmen).</t>
    </r>
  </si>
  <si>
    <t>Streue</t>
  </si>
  <si>
    <t>Hackschnitzel</t>
  </si>
  <si>
    <t>m3</t>
  </si>
  <si>
    <t>Kälbermast</t>
  </si>
  <si>
    <t>Mastvieh (Grossviehmast)</t>
  </si>
  <si>
    <t>Total zugekaufte Vorräte           1220</t>
  </si>
  <si>
    <r>
      <t xml:space="preserve">Total Vorräte für Verkauf </t>
    </r>
    <r>
      <rPr>
        <b/>
        <sz val="7"/>
        <color indexed="10"/>
        <rFont val="Arial"/>
        <family val="2"/>
      </rPr>
      <t>(siehe in BH)</t>
    </r>
  </si>
  <si>
    <t>Brennholz gespalten</t>
  </si>
  <si>
    <t>()C</t>
  </si>
  <si>
    <t>ca. 80'000.--</t>
  </si>
  <si>
    <t>Durchschnitts-Gewicht</t>
  </si>
  <si>
    <t>Preis pro Stück</t>
  </si>
  <si>
    <t>Wert Total</t>
  </si>
  <si>
    <r>
      <t xml:space="preserve">Mastvieh 150 kg bis 300 kg LG </t>
    </r>
    <r>
      <rPr>
        <sz val="8"/>
        <color indexed="10"/>
        <rFont val="Arial"/>
        <family val="2"/>
      </rPr>
      <t>(Ø 220 kg)</t>
    </r>
  </si>
  <si>
    <t xml:space="preserve">pro Stück </t>
  </si>
  <si>
    <t>Wenn der Platz für die Vorräte (Weininventar, Hofladen etc.) nicht ausreicht, können Sie uns die Vorräte gerne auch auf einem separatem Blatt übermitteln.</t>
  </si>
  <si>
    <t>ANBAUPLAN ERNTEJAHR:</t>
  </si>
  <si>
    <r>
      <t xml:space="preserve">Bitte füllen Sie auf den folgenden Seiten die Daten ein, die für Ihren Betrieb notwendig sind. </t>
    </r>
    <r>
      <rPr>
        <sz val="10"/>
        <rFont val="Arial"/>
        <family val="2"/>
      </rPr>
      <t xml:space="preserve">Sie können dazu auch den letztjährigen Buchhaltungsabschluss zur Hand nehmen.
</t>
    </r>
    <r>
      <rPr>
        <sz val="12"/>
        <rFont val="Arial"/>
        <family val="2"/>
      </rPr>
      <t xml:space="preserve">Insbesondere </t>
    </r>
    <r>
      <rPr>
        <sz val="12"/>
        <rFont val="Arial"/>
        <family val="2"/>
      </rPr>
      <t xml:space="preserve">auszufüllen sind die </t>
    </r>
    <r>
      <rPr>
        <sz val="14"/>
        <color indexed="10"/>
        <rFont val="Arial"/>
        <family val="2"/>
      </rPr>
      <t>roten</t>
    </r>
    <r>
      <rPr>
        <sz val="12"/>
        <rFont val="Arial"/>
        <family val="2"/>
      </rPr>
      <t xml:space="preserve"> Register (je nach Betriebszweig).
Wer ein detailliertes Rindviehinventar (jedes Tier einzeln) wünscht, füllt die </t>
    </r>
    <r>
      <rPr>
        <b/>
        <sz val="14"/>
        <color indexed="13"/>
        <rFont val="Arial"/>
        <family val="2"/>
      </rPr>
      <t>gelben</t>
    </r>
    <r>
      <rPr>
        <sz val="12"/>
        <rFont val="Arial"/>
        <family val="2"/>
      </rPr>
      <t xml:space="preserve"> </t>
    </r>
    <r>
      <rPr>
        <sz val="12"/>
        <rFont val="Arial"/>
        <family val="2"/>
      </rPr>
      <t xml:space="preserve">Register "Detail Kühe/Detail Aufzucht/Detail Mast" aus. Auch wer zuwenig Platz beim Mastvieh hat, kann zusätzlich das Register "Detail Mast" benutzen.
Wenn Sie noch weitere Angaben haben, die Sie nicht auf den dafür vorgesehenen Stellen einfüllen können, dann benutzen Sie dafür bitte das </t>
    </r>
    <r>
      <rPr>
        <b/>
        <sz val="16"/>
        <color indexed="57"/>
        <rFont val="Arial"/>
        <family val="2"/>
      </rPr>
      <t>grüne</t>
    </r>
    <r>
      <rPr>
        <sz val="12"/>
        <rFont val="Arial"/>
        <family val="2"/>
      </rPr>
      <t xml:space="preserve"> Register "Bemerkungen zum IV".</t>
    </r>
  </si>
  <si>
    <t>Zuchtstiere / Aufzuchtvieh</t>
  </si>
  <si>
    <t>Durchschnitts-Gewicht
kg</t>
  </si>
  <si>
    <t>Damhirsche bis 2 Jahre</t>
  </si>
  <si>
    <t>Damhirsche über 2 Jahre</t>
  </si>
  <si>
    <t>Mastschweine à 30 kg</t>
  </si>
  <si>
    <t>Mastschweine à 40 kg</t>
  </si>
  <si>
    <t xml:space="preserve">Mastschweine à 25 kg </t>
  </si>
  <si>
    <t xml:space="preserve">Mastschweine à 35 kg </t>
  </si>
  <si>
    <t>PRODUZENT</t>
  </si>
  <si>
    <t>MÄSTER</t>
  </si>
  <si>
    <r>
      <t xml:space="preserve">Jager  à  20 kg     </t>
    </r>
    <r>
      <rPr>
        <sz val="9"/>
        <color indexed="10"/>
        <rFont val="Arial"/>
        <family val="2"/>
      </rPr>
      <t xml:space="preserve">  *</t>
    </r>
  </si>
  <si>
    <r>
      <t xml:space="preserve">Mastschweine à 20 kg    </t>
    </r>
    <r>
      <rPr>
        <sz val="9"/>
        <color indexed="10"/>
        <rFont val="Arial"/>
        <family val="2"/>
      </rPr>
      <t>*</t>
    </r>
  </si>
  <si>
    <t>für 1 Register Rindvieh (rot)</t>
  </si>
  <si>
    <t>Legehennen bis 100 Stk.</t>
  </si>
  <si>
    <t>Bitte senden Sie uns auch Unterlagen des Folgejahres (sofern schon vorhanden) für die Abgrenzung der Debitoren/Kreditoren.</t>
  </si>
  <si>
    <t>6’000.--</t>
  </si>
  <si>
    <t>Kalbfleisch</t>
  </si>
  <si>
    <t>Rindfleisch</t>
  </si>
  <si>
    <t>Munifleisch</t>
  </si>
  <si>
    <t>Schweinefleisch</t>
  </si>
  <si>
    <t>Sportpferde: vorsichtiger Marktwert, z.B. 80 % des Versicherungswertes</t>
  </si>
  <si>
    <t>Maiskörnersilage</t>
  </si>
  <si>
    <t>Die Kassenrapporte Januar bis Dezember müssen vollständig ausgefüllt und saldiert sein bzw. wenn Sie selber buchen</t>
  </si>
  <si>
    <t>(Cashman, AgroOffice, Agris, Protecdata etc.), vollständig verbucht sein. Die Endbestände der Betriebskonten sollen mit den</t>
  </si>
  <si>
    <r>
      <t xml:space="preserve">Cashman-Kunden bitten wir, die Daten per </t>
    </r>
    <r>
      <rPr>
        <b/>
        <sz val="11"/>
        <rFont val="Arial"/>
        <family val="2"/>
      </rPr>
      <t>Export</t>
    </r>
    <r>
      <rPr>
        <sz val="11"/>
        <rFont val="Arial"/>
        <family val="2"/>
      </rPr>
      <t xml:space="preserve"> (nicht Sicherung) zu übermitteln. Bitte nicht vergessen, </t>
    </r>
  </si>
  <si>
    <t>alle Perioden ( = Monate) zu markieren.</t>
  </si>
  <si>
    <t>zuzustellen (inkl. notwendige Bescheinigungen/Unterlagen). Wir werden um Fristverlängerung ersuchen.</t>
  </si>
  <si>
    <r>
      <rPr>
        <b/>
        <sz val="11"/>
        <rFont val="Arial"/>
        <family val="2"/>
      </rPr>
      <t>Hinweis</t>
    </r>
    <r>
      <rPr>
        <sz val="11"/>
        <rFont val="Arial"/>
        <family val="2"/>
      </rPr>
      <t xml:space="preserve">: für Kunden, welche die Buchhaltungsprogramme </t>
    </r>
    <r>
      <rPr>
        <sz val="11"/>
        <color indexed="10"/>
        <rFont val="Arial"/>
        <family val="2"/>
      </rPr>
      <t>AgroOffice</t>
    </r>
    <r>
      <rPr>
        <sz val="11"/>
        <rFont val="Arial"/>
        <family val="2"/>
      </rPr>
      <t xml:space="preserve">, </t>
    </r>
    <r>
      <rPr>
        <sz val="11"/>
        <color indexed="10"/>
        <rFont val="Arial"/>
        <family val="2"/>
      </rPr>
      <t>Agris</t>
    </r>
    <r>
      <rPr>
        <sz val="11"/>
        <rFont val="Arial"/>
        <family val="2"/>
      </rPr>
      <t xml:space="preserve"> und </t>
    </r>
    <r>
      <rPr>
        <sz val="11"/>
        <color indexed="10"/>
        <rFont val="Arial"/>
        <family val="2"/>
      </rPr>
      <t>Protecdata</t>
    </r>
    <r>
      <rPr>
        <sz val="11"/>
        <rFont val="Arial"/>
        <family val="2"/>
      </rPr>
      <t xml:space="preserve"> verwenden: In diesen Programmen können Inventaraufnahmelisten ausgedruckt und die Daten gleich selber erfasst werden.</t>
    </r>
  </si>
  <si>
    <t>Sie können uns das Inventar in diesem Fall auch gleich auf diese Weise liefern (bzw. per Datentransfer).</t>
  </si>
  <si>
    <t>1110/4311</t>
  </si>
  <si>
    <t>Zuschlag NB</t>
  </si>
  <si>
    <t>Prozent</t>
  </si>
  <si>
    <t>Kälbermast / Mutterkuhkälber*</t>
  </si>
  <si>
    <t>Mutterkuhkälber *</t>
  </si>
  <si>
    <t>Total Kälbermast / Mutterkuhkälber</t>
  </si>
  <si>
    <r>
      <t>(Wird durch Lerch Treuhand AG ausgefüllt)</t>
    </r>
    <r>
      <rPr>
        <sz val="8"/>
        <rFont val="Arial"/>
        <family val="2"/>
      </rPr>
      <t xml:space="preserve">                     </t>
    </r>
    <r>
      <rPr>
        <sz val="12"/>
        <rFont val="Arial"/>
        <family val="2"/>
      </rPr>
      <t>GVE</t>
    </r>
  </si>
  <si>
    <t>Rindvieh Zucht/Nutzung</t>
  </si>
  <si>
    <t>min.</t>
  </si>
  <si>
    <t>max.</t>
  </si>
  <si>
    <t>Zuchtstuten</t>
  </si>
  <si>
    <t>Lamas bis 2 Jahre</t>
  </si>
  <si>
    <t xml:space="preserve">Lamas über 2 Jahre </t>
  </si>
  <si>
    <t>Alpakas bis 2 Jahre</t>
  </si>
  <si>
    <t>Alpakas über 2 Jahre</t>
  </si>
  <si>
    <t>Fr./kg</t>
  </si>
  <si>
    <t>Bitte beachten Sie folgende Punkte für das Inventar 2025:</t>
  </si>
  <si>
    <r>
      <t xml:space="preserve">Jahr
</t>
    </r>
    <r>
      <rPr>
        <b/>
        <sz val="7"/>
        <color indexed="10"/>
        <rFont val="Arial"/>
        <family val="2"/>
      </rPr>
      <t>Bsp. 2024</t>
    </r>
  </si>
  <si>
    <t>Vergleich mit Buchhaltung Vorjahr (2024):</t>
  </si>
  <si>
    <t>Total Pachtland 2024</t>
  </si>
  <si>
    <t>Total Eigentum 2024</t>
  </si>
  <si>
    <t>= Total Betriebsfläche 2024</t>
  </si>
  <si>
    <t>Bsp. 31.7.2025</t>
  </si>
  <si>
    <t>März 2026 bis Juli 2027</t>
  </si>
  <si>
    <t>01.02.202</t>
  </si>
  <si>
    <t>2025</t>
  </si>
  <si>
    <t>Bio-Speisekartoffeln</t>
  </si>
  <si>
    <t>* 21 % Zuschlag NB</t>
  </si>
  <si>
    <t>gerundet manuell</t>
  </si>
  <si>
    <t>Kälbermast/Mutterkuhkälber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</si>
</sst>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75" formatCode="_ &quot;SFr.&quot;\ * #,##0.00_ ;_ &quot;SFr.&quot;\ * \-#,##0.00_ ;_ &quot;SFr.&quot;\ * &quot;-&quot;??_ ;_ @_ "/>
    <numFmt numFmtId="180" formatCode="_ [$€-2]\ * #,##0.00_ ;_ [$€-2]\ * \-#,##0.00_ ;_ [$€-2]\ * &quot;-&quot;??_ "/>
    <numFmt numFmtId="181" formatCode="_ [$SFr.-807]\ * #,##0.00_ ;_ [$SFr.-807]\ * \-#,##0.00_ ;_ [$SFr.-807]\ * &quot;-&quot;??_ ;_ @_ "/>
    <numFmt numFmtId="183" formatCode="#,##0.00_ ;\-#,##0.00\ "/>
    <numFmt numFmtId="184" formatCode="0.0"/>
    <numFmt numFmtId="189" formatCode="_ * #,##0_ ;_ * \-#,##0_ ;_ * &quot;-&quot;??_ ;_ @_ "/>
    <numFmt numFmtId="191" formatCode="yyyy"/>
    <numFmt numFmtId="221" formatCode="#,##0;[Red]#,##0"/>
    <numFmt numFmtId="222" formatCode="#,##0_ ;\-#,##0\ "/>
  </numFmts>
  <fonts count="112" x14ac:knownFonts="1">
    <font>
      <sz val="10"/>
      <name val="Arial"/>
    </font>
    <font>
      <sz val="10"/>
      <name val="Arial"/>
    </font>
    <font>
      <sz val="12"/>
      <name val="Arial"/>
      <family val="2"/>
    </font>
    <font>
      <b/>
      <sz val="12"/>
      <name val="Arial"/>
      <family val="2"/>
    </font>
    <font>
      <b/>
      <sz val="11"/>
      <name val="Arial"/>
      <family val="2"/>
    </font>
    <font>
      <sz val="13"/>
      <name val="Arial"/>
      <family val="2"/>
    </font>
    <font>
      <i/>
      <sz val="10"/>
      <name val="Arial"/>
      <family val="2"/>
    </font>
    <font>
      <sz val="10"/>
      <name val="Arial"/>
      <family val="2"/>
    </font>
    <font>
      <b/>
      <sz val="14"/>
      <name val="Arial"/>
      <family val="2"/>
    </font>
    <font>
      <b/>
      <sz val="10"/>
      <name val="Arial"/>
      <family val="2"/>
    </font>
    <font>
      <b/>
      <sz val="8"/>
      <name val="Arial"/>
      <family val="2"/>
    </font>
    <font>
      <sz val="8"/>
      <name val="Arial"/>
      <family val="2"/>
    </font>
    <font>
      <sz val="9"/>
      <name val="Arial"/>
      <family val="2"/>
    </font>
    <font>
      <sz val="11"/>
      <name val="Arial"/>
      <family val="2"/>
    </font>
    <font>
      <u/>
      <sz val="10"/>
      <color indexed="12"/>
      <name val="Arial"/>
      <family val="2"/>
    </font>
    <font>
      <sz val="12"/>
      <name val="Arial"/>
      <family val="2"/>
    </font>
    <font>
      <sz val="8"/>
      <name val="Arial"/>
      <family val="2"/>
    </font>
    <font>
      <sz val="7"/>
      <name val="Arial"/>
      <family val="2"/>
    </font>
    <font>
      <sz val="4"/>
      <name val="Arial"/>
      <family val="2"/>
    </font>
    <font>
      <sz val="5"/>
      <name val="Arial"/>
      <family val="2"/>
    </font>
    <font>
      <sz val="10"/>
      <name val="Times New Roman"/>
      <family val="1"/>
    </font>
    <font>
      <b/>
      <sz val="9"/>
      <name val="Arial"/>
      <family val="2"/>
    </font>
    <font>
      <b/>
      <sz val="11"/>
      <name val="Arial"/>
      <family val="2"/>
    </font>
    <font>
      <sz val="3"/>
      <name val="Arial"/>
      <family val="2"/>
    </font>
    <font>
      <sz val="9"/>
      <name val="Arial"/>
      <family val="2"/>
    </font>
    <font>
      <sz val="6"/>
      <name val="Arial"/>
      <family val="2"/>
    </font>
    <font>
      <sz val="2"/>
      <name val="Arial"/>
      <family val="2"/>
    </font>
    <font>
      <b/>
      <sz val="7"/>
      <name val="Arial"/>
      <family val="2"/>
    </font>
    <font>
      <b/>
      <sz val="4"/>
      <name val="Arial"/>
      <family val="2"/>
    </font>
    <font>
      <i/>
      <sz val="9"/>
      <color indexed="18"/>
      <name val="Arial"/>
      <family val="2"/>
    </font>
    <font>
      <b/>
      <i/>
      <sz val="9"/>
      <color indexed="23"/>
      <name val="Arial"/>
      <family val="2"/>
    </font>
    <font>
      <vertAlign val="superscript"/>
      <sz val="8"/>
      <name val="Arial"/>
      <family val="2"/>
    </font>
    <font>
      <b/>
      <u/>
      <sz val="9"/>
      <name val="Arial"/>
      <family val="2"/>
    </font>
    <font>
      <b/>
      <sz val="3"/>
      <name val="Arial"/>
      <family val="2"/>
    </font>
    <font>
      <sz val="8"/>
      <name val="Tahoma"/>
      <family val="2"/>
    </font>
    <font>
      <sz val="14"/>
      <name val="Arial"/>
      <family val="2"/>
    </font>
    <font>
      <sz val="15"/>
      <name val="Arial"/>
      <family val="2"/>
    </font>
    <font>
      <sz val="8"/>
      <color indexed="12"/>
      <name val="Arial"/>
      <family val="2"/>
    </font>
    <font>
      <sz val="24"/>
      <name val="Arial"/>
      <family val="2"/>
    </font>
    <font>
      <b/>
      <sz val="14"/>
      <color indexed="10"/>
      <name val="Arial"/>
      <family val="2"/>
    </font>
    <font>
      <b/>
      <sz val="26"/>
      <name val="Arial"/>
      <family val="2"/>
    </font>
    <font>
      <b/>
      <sz val="10"/>
      <color indexed="17"/>
      <name val="Arial"/>
      <family val="2"/>
    </font>
    <font>
      <u/>
      <sz val="9"/>
      <name val="Arial"/>
      <family val="2"/>
    </font>
    <font>
      <b/>
      <sz val="7"/>
      <name val="Arial"/>
      <family val="2"/>
    </font>
    <font>
      <sz val="9"/>
      <color indexed="10"/>
      <name val="Arial"/>
      <family val="2"/>
    </font>
    <font>
      <sz val="8"/>
      <color indexed="10"/>
      <name val="Arial"/>
      <family val="2"/>
    </font>
    <font>
      <sz val="10"/>
      <color indexed="10"/>
      <name val="Arial"/>
      <family val="2"/>
    </font>
    <font>
      <sz val="10"/>
      <color indexed="10"/>
      <name val="Arial"/>
      <family val="2"/>
    </font>
    <font>
      <i/>
      <sz val="9"/>
      <color indexed="10"/>
      <name val="Arial"/>
      <family val="2"/>
    </font>
    <font>
      <i/>
      <sz val="8"/>
      <color indexed="10"/>
      <name val="Arial"/>
      <family val="2"/>
    </font>
    <font>
      <sz val="9"/>
      <color indexed="10"/>
      <name val="Arial"/>
      <family val="2"/>
    </font>
    <font>
      <b/>
      <sz val="10"/>
      <color indexed="49"/>
      <name val="Arial"/>
      <family val="2"/>
    </font>
    <font>
      <b/>
      <sz val="9"/>
      <color indexed="10"/>
      <name val="Arial"/>
      <family val="2"/>
    </font>
    <font>
      <b/>
      <sz val="11"/>
      <color indexed="10"/>
      <name val="Arial"/>
      <family val="2"/>
    </font>
    <font>
      <b/>
      <sz val="8"/>
      <color indexed="10"/>
      <name val="Arial"/>
      <family val="2"/>
    </font>
    <font>
      <b/>
      <sz val="6"/>
      <name val="Arial"/>
      <family val="2"/>
    </font>
    <font>
      <sz val="7"/>
      <name val="Arial"/>
      <family val="2"/>
    </font>
    <font>
      <sz val="16"/>
      <name val="Arial"/>
      <family val="2"/>
    </font>
    <font>
      <b/>
      <i/>
      <sz val="12"/>
      <name val="Arial"/>
      <family val="2"/>
    </font>
    <font>
      <b/>
      <sz val="10"/>
      <name val="Wingdings"/>
      <charset val="2"/>
    </font>
    <font>
      <b/>
      <sz val="16"/>
      <name val="Arial"/>
      <family val="2"/>
    </font>
    <font>
      <u/>
      <sz val="12"/>
      <name val="Arial"/>
      <family val="2"/>
    </font>
    <font>
      <b/>
      <sz val="7"/>
      <color indexed="10"/>
      <name val="Arial"/>
      <family val="2"/>
    </font>
    <font>
      <b/>
      <sz val="10"/>
      <color indexed="10"/>
      <name val="Arial"/>
      <family val="2"/>
    </font>
    <font>
      <u/>
      <sz val="8"/>
      <name val="Arial"/>
      <family val="2"/>
    </font>
    <font>
      <b/>
      <sz val="10"/>
      <name val="Symbol"/>
      <family val="1"/>
      <charset val="2"/>
    </font>
    <font>
      <b/>
      <sz val="8"/>
      <name val="Symbol"/>
      <family val="1"/>
      <charset val="2"/>
    </font>
    <font>
      <b/>
      <sz val="10"/>
      <color indexed="10"/>
      <name val="Symbol"/>
      <family val="1"/>
      <charset val="2"/>
    </font>
    <font>
      <b/>
      <sz val="12"/>
      <color indexed="10"/>
      <name val="Lucida Handwriting"/>
      <family val="4"/>
    </font>
    <font>
      <u/>
      <sz val="10"/>
      <name val="Arial"/>
      <family val="2"/>
    </font>
    <font>
      <b/>
      <u/>
      <sz val="10"/>
      <name val="Arial"/>
      <family val="2"/>
    </font>
    <font>
      <sz val="18"/>
      <name val="Arial"/>
      <family val="2"/>
    </font>
    <font>
      <sz val="18"/>
      <color indexed="10"/>
      <name val="Arial"/>
      <family val="2"/>
    </font>
    <font>
      <i/>
      <sz val="11"/>
      <name val="Arial"/>
      <family val="2"/>
    </font>
    <font>
      <b/>
      <sz val="20"/>
      <color indexed="10"/>
      <name val="Arial"/>
      <family val="2"/>
    </font>
    <font>
      <sz val="14"/>
      <color indexed="10"/>
      <name val="Arial"/>
      <family val="2"/>
    </font>
    <font>
      <b/>
      <u/>
      <sz val="14"/>
      <name val="Arial"/>
      <family val="2"/>
    </font>
    <font>
      <sz val="11"/>
      <name val="Arial"/>
      <family val="2"/>
    </font>
    <font>
      <b/>
      <sz val="11"/>
      <color indexed="10"/>
      <name val="Lucida Handwriting"/>
      <family val="4"/>
    </font>
    <font>
      <b/>
      <sz val="16"/>
      <color indexed="10"/>
      <name val="Arial"/>
      <family val="2"/>
    </font>
    <font>
      <u/>
      <sz val="10"/>
      <name val="Arial"/>
      <family val="2"/>
    </font>
    <font>
      <b/>
      <i/>
      <sz val="11"/>
      <color indexed="10"/>
      <name val="Arial"/>
      <family val="2"/>
    </font>
    <font>
      <b/>
      <i/>
      <sz val="11"/>
      <name val="Arial"/>
      <family val="2"/>
    </font>
    <font>
      <b/>
      <i/>
      <u/>
      <sz val="11"/>
      <name val="Arial"/>
      <family val="2"/>
    </font>
    <font>
      <b/>
      <sz val="28"/>
      <name val="Arial"/>
      <family val="2"/>
    </font>
    <font>
      <b/>
      <i/>
      <sz val="14"/>
      <color indexed="10"/>
      <name val="Arial"/>
      <family val="2"/>
    </font>
    <font>
      <b/>
      <i/>
      <sz val="14"/>
      <color indexed="22"/>
      <name val="Arial"/>
      <family val="2"/>
    </font>
    <font>
      <b/>
      <i/>
      <sz val="12"/>
      <color indexed="23"/>
      <name val="Arial"/>
      <family val="2"/>
    </font>
    <font>
      <sz val="10"/>
      <name val="Arial"/>
      <family val="2"/>
    </font>
    <font>
      <b/>
      <sz val="9"/>
      <color indexed="81"/>
      <name val="Tahoma"/>
      <family val="2"/>
    </font>
    <font>
      <b/>
      <sz val="18"/>
      <color indexed="53"/>
      <name val="Arial"/>
      <family val="2"/>
    </font>
    <font>
      <b/>
      <sz val="16"/>
      <color indexed="57"/>
      <name val="Arial"/>
      <family val="2"/>
    </font>
    <font>
      <sz val="14"/>
      <color indexed="10"/>
      <name val="Arial"/>
      <family val="2"/>
    </font>
    <font>
      <b/>
      <sz val="14"/>
      <color indexed="13"/>
      <name val="Arial"/>
      <family val="2"/>
    </font>
    <font>
      <sz val="14"/>
      <color indexed="49"/>
      <name val="Arial"/>
      <family val="2"/>
    </font>
    <font>
      <b/>
      <sz val="14"/>
      <color indexed="49"/>
      <name val="Arial"/>
      <family val="2"/>
    </font>
    <font>
      <u/>
      <sz val="9"/>
      <color indexed="12"/>
      <name val="Arial"/>
      <family val="2"/>
    </font>
    <font>
      <b/>
      <sz val="18"/>
      <color indexed="8"/>
      <name val="Arial"/>
      <family val="2"/>
    </font>
    <font>
      <b/>
      <sz val="18"/>
      <name val="Arial"/>
      <family val="2"/>
    </font>
    <font>
      <b/>
      <sz val="24"/>
      <name val="Arial"/>
      <family val="2"/>
    </font>
    <font>
      <sz val="24"/>
      <name val="Wingdings 3"/>
      <family val="1"/>
      <charset val="2"/>
    </font>
    <font>
      <b/>
      <sz val="18"/>
      <color indexed="17"/>
      <name val="Arial"/>
      <family val="2"/>
    </font>
    <font>
      <sz val="10"/>
      <name val="Arial"/>
      <family val="2"/>
    </font>
    <font>
      <sz val="9"/>
      <color indexed="10"/>
      <name val="Arial"/>
      <family val="2"/>
    </font>
    <font>
      <i/>
      <sz val="9"/>
      <name val="Arial"/>
      <family val="2"/>
    </font>
    <font>
      <sz val="11"/>
      <color indexed="10"/>
      <name val="Arial"/>
      <family val="2"/>
    </font>
    <font>
      <sz val="10"/>
      <color theme="1"/>
      <name val="Arial"/>
      <family val="2"/>
    </font>
    <font>
      <b/>
      <sz val="12"/>
      <color theme="1"/>
      <name val="Arial"/>
      <family val="2"/>
    </font>
    <font>
      <b/>
      <sz val="7"/>
      <color rgb="FFFF0000"/>
      <name val="Arial"/>
      <family val="2"/>
    </font>
    <font>
      <sz val="9"/>
      <color rgb="FFFF0000"/>
      <name val="Arial"/>
      <family val="2"/>
    </font>
    <font>
      <sz val="10"/>
      <color rgb="FFFF0000"/>
      <name val="Arial"/>
      <family val="2"/>
    </font>
    <font>
      <sz val="8"/>
      <color rgb="FFFF0000"/>
      <name val="Arial"/>
      <family val="2"/>
    </font>
  </fonts>
  <fills count="22">
    <fill>
      <patternFill patternType="none"/>
    </fill>
    <fill>
      <patternFill patternType="gray125"/>
    </fill>
    <fill>
      <patternFill patternType="solid">
        <fgColor indexed="22"/>
        <bgColor indexed="64"/>
      </patternFill>
    </fill>
    <fill>
      <patternFill patternType="solid">
        <fgColor indexed="49"/>
        <bgColor indexed="64"/>
      </patternFill>
    </fill>
    <fill>
      <patternFill patternType="solid">
        <fgColor indexed="65"/>
        <bgColor indexed="64"/>
      </patternFill>
    </fill>
    <fill>
      <patternFill patternType="solid">
        <fgColor indexed="41"/>
        <bgColor indexed="64"/>
      </patternFill>
    </fill>
    <fill>
      <patternFill patternType="solid">
        <fgColor indexed="43"/>
        <bgColor indexed="64"/>
      </patternFill>
    </fill>
    <fill>
      <patternFill patternType="lightDown"/>
    </fill>
    <fill>
      <patternFill patternType="lightUp"/>
    </fill>
    <fill>
      <patternFill patternType="solid">
        <fgColor indexed="9"/>
        <bgColor indexed="64"/>
      </patternFill>
    </fill>
    <fill>
      <patternFill patternType="solid">
        <fgColor indexed="40"/>
        <bgColor indexed="64"/>
      </patternFill>
    </fill>
    <fill>
      <patternFill patternType="lightUp">
        <bgColor indexed="9"/>
      </patternFill>
    </fill>
    <fill>
      <patternFill patternType="solid">
        <fgColor indexed="10"/>
        <bgColor indexed="64"/>
      </patternFill>
    </fill>
    <fill>
      <patternFill patternType="gray0625">
        <bgColor indexed="22"/>
      </patternFill>
    </fill>
    <fill>
      <patternFill patternType="solid">
        <fgColor indexed="55"/>
        <bgColor indexed="64"/>
      </patternFill>
    </fill>
    <fill>
      <patternFill patternType="solid">
        <fgColor indexed="51"/>
        <bgColor indexed="64"/>
      </patternFill>
    </fill>
    <fill>
      <patternFill patternType="mediumGray">
        <bgColor indexed="22"/>
      </patternFill>
    </fill>
    <fill>
      <patternFill patternType="gray125">
        <bgColor indexed="22"/>
      </patternFill>
    </fill>
    <fill>
      <patternFill patternType="solid">
        <fgColor indexed="57"/>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99"/>
        <bgColor indexed="64"/>
      </patternFill>
    </fill>
  </fills>
  <borders count="154">
    <border>
      <left/>
      <right/>
      <top/>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medium">
        <color indexed="64"/>
      </right>
      <top/>
      <bottom style="hair">
        <color indexed="64"/>
      </bottom>
      <diagonal/>
    </border>
    <border>
      <left/>
      <right/>
      <top style="medium">
        <color indexed="64"/>
      </top>
      <bottom style="medium">
        <color indexed="64"/>
      </bottom>
      <diagonal/>
    </border>
    <border>
      <left style="thin">
        <color indexed="64"/>
      </left>
      <right style="hair">
        <color indexed="64"/>
      </right>
      <top style="hair">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hair">
        <color indexed="64"/>
      </left>
      <right style="medium">
        <color indexed="64"/>
      </right>
      <top style="hair">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hair">
        <color indexed="64"/>
      </top>
      <bottom/>
      <diagonal/>
    </border>
    <border>
      <left/>
      <right style="medium">
        <color indexed="64"/>
      </right>
      <top style="hair">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medium">
        <color indexed="64"/>
      </left>
      <right/>
      <top style="thin">
        <color indexed="64"/>
      </top>
      <bottom style="medium">
        <color indexed="64"/>
      </bottom>
      <diagonal/>
    </border>
    <border>
      <left/>
      <right style="hair">
        <color indexed="64"/>
      </right>
      <top/>
      <bottom style="hair">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thin">
        <color indexed="64"/>
      </left>
      <right style="thin">
        <color indexed="64"/>
      </right>
      <top style="medium">
        <color indexed="64"/>
      </top>
      <bottom style="medium">
        <color indexed="64"/>
      </bottom>
      <diagonal/>
    </border>
    <border>
      <left/>
      <right style="hair">
        <color indexed="64"/>
      </right>
      <top/>
      <bottom/>
      <diagonal/>
    </border>
    <border>
      <left style="hair">
        <color indexed="64"/>
      </left>
      <right style="medium">
        <color indexed="64"/>
      </right>
      <top/>
      <bottom/>
      <diagonal/>
    </border>
    <border>
      <left style="hair">
        <color indexed="64"/>
      </left>
      <right/>
      <top/>
      <bottom style="medium">
        <color indexed="64"/>
      </bottom>
      <diagonal/>
    </border>
    <border>
      <left style="medium">
        <color indexed="64"/>
      </left>
      <right/>
      <top style="hair">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top/>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hair">
        <color indexed="64"/>
      </top>
      <bottom style="hair">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s>
  <cellStyleXfs count="5">
    <xf numFmtId="0" fontId="0" fillId="0" borderId="0"/>
    <xf numFmtId="180" fontId="1" fillId="0" borderId="0" applyFont="0" applyFill="0" applyBorder="0" applyAlignment="0" applyProtection="0"/>
    <xf numFmtId="43" fontId="1" fillId="0" borderId="0" applyFont="0" applyFill="0" applyBorder="0" applyAlignment="0" applyProtection="0"/>
    <xf numFmtId="0" fontId="14" fillId="0" borderId="0" applyNumberFormat="0" applyFill="0" applyBorder="0" applyAlignment="0" applyProtection="0">
      <alignment vertical="top"/>
      <protection locked="0"/>
    </xf>
    <xf numFmtId="175" fontId="1" fillId="0" borderId="0" applyFont="0" applyFill="0" applyBorder="0" applyAlignment="0" applyProtection="0"/>
  </cellStyleXfs>
  <cellXfs count="1355">
    <xf numFmtId="0" fontId="0" fillId="0" borderId="0" xfId="0"/>
    <xf numFmtId="0" fontId="2" fillId="0" borderId="0" xfId="0" applyFont="1"/>
    <xf numFmtId="0" fontId="4" fillId="0" borderId="0" xfId="0" applyFont="1"/>
    <xf numFmtId="0" fontId="6" fillId="0" borderId="0" xfId="0" applyFont="1"/>
    <xf numFmtId="0" fontId="7" fillId="0" borderId="0" xfId="0" applyFont="1"/>
    <xf numFmtId="0" fontId="8" fillId="0" borderId="0" xfId="0" applyFont="1"/>
    <xf numFmtId="0" fontId="11" fillId="0" borderId="0" xfId="0" applyFont="1"/>
    <xf numFmtId="0" fontId="12" fillId="0" borderId="0" xfId="0" applyFont="1"/>
    <xf numFmtId="0" fontId="9" fillId="0" borderId="0" xfId="0" applyFont="1"/>
    <xf numFmtId="0" fontId="17" fillId="0" borderId="0" xfId="0" applyFont="1"/>
    <xf numFmtId="0" fontId="18" fillId="0" borderId="0" xfId="0" applyFont="1"/>
    <xf numFmtId="0" fontId="19" fillId="0" borderId="0" xfId="0" applyFont="1"/>
    <xf numFmtId="0" fontId="0" fillId="0" borderId="0" xfId="0" applyBorder="1"/>
    <xf numFmtId="0" fontId="7" fillId="0" borderId="0" xfId="0" applyFont="1" applyBorder="1" applyAlignment="1">
      <alignment vertical="top" wrapText="1"/>
    </xf>
    <xf numFmtId="0" fontId="4" fillId="0" borderId="0" xfId="0" applyFont="1" applyAlignment="1">
      <alignment horizontal="left"/>
    </xf>
    <xf numFmtId="0" fontId="6" fillId="0" borderId="0" xfId="0" applyFont="1" applyAlignment="1">
      <alignment horizontal="right"/>
    </xf>
    <xf numFmtId="0" fontId="0" fillId="0" borderId="0" xfId="0" applyAlignment="1">
      <alignment horizontal="center"/>
    </xf>
    <xf numFmtId="0" fontId="4" fillId="0" borderId="0" xfId="0" applyFont="1" applyAlignment="1">
      <alignment horizontal="center"/>
    </xf>
    <xf numFmtId="0" fontId="0" fillId="0" borderId="0" xfId="0" applyAlignment="1">
      <alignment vertical="center"/>
    </xf>
    <xf numFmtId="0" fontId="5" fillId="0" borderId="0" xfId="0" applyFont="1"/>
    <xf numFmtId="0" fontId="6" fillId="0" borderId="0" xfId="0" applyFont="1" applyAlignment="1">
      <alignment horizontal="center"/>
    </xf>
    <xf numFmtId="0" fontId="6" fillId="0" borderId="0" xfId="0" applyFont="1" applyAlignment="1"/>
    <xf numFmtId="0" fontId="13" fillId="0" borderId="0" xfId="0" applyFont="1"/>
    <xf numFmtId="0" fontId="23" fillId="0" borderId="0" xfId="0" applyFont="1"/>
    <xf numFmtId="0" fontId="10" fillId="2" borderId="1" xfId="0" applyFont="1" applyFill="1" applyBorder="1" applyAlignment="1">
      <alignment horizontal="center" vertical="center" wrapText="1"/>
    </xf>
    <xf numFmtId="0" fontId="26" fillId="0" borderId="0" xfId="0" applyFont="1"/>
    <xf numFmtId="0" fontId="9" fillId="0" borderId="0" xfId="0" applyFont="1" applyAlignment="1">
      <alignment vertical="center"/>
    </xf>
    <xf numFmtId="0" fontId="6" fillId="0" borderId="0" xfId="0" applyFont="1" applyAlignment="1">
      <alignment vertical="top"/>
    </xf>
    <xf numFmtId="0" fontId="12" fillId="0" borderId="0" xfId="0" applyFont="1" applyBorder="1" applyAlignment="1">
      <alignment vertical="top" wrapText="1"/>
    </xf>
    <xf numFmtId="4" fontId="0" fillId="0" borderId="0" xfId="0" applyNumberFormat="1"/>
    <xf numFmtId="4" fontId="12" fillId="0" borderId="0" xfId="0" applyNumberFormat="1" applyFont="1" applyBorder="1" applyAlignment="1">
      <alignment vertical="center"/>
    </xf>
    <xf numFmtId="0" fontId="2" fillId="0" borderId="0" xfId="0" applyFont="1" applyAlignment="1">
      <alignment vertical="center"/>
    </xf>
    <xf numFmtId="4" fontId="0" fillId="0" borderId="0" xfId="0" applyNumberFormat="1" applyAlignment="1">
      <alignment vertical="center"/>
    </xf>
    <xf numFmtId="0" fontId="5" fillId="0" borderId="0" xfId="0" applyFont="1" applyAlignment="1">
      <alignment horizontal="center"/>
    </xf>
    <xf numFmtId="0" fontId="8" fillId="0" borderId="0" xfId="0" applyFont="1" applyAlignment="1">
      <alignment horizontal="center"/>
    </xf>
    <xf numFmtId="0" fontId="13" fillId="0" borderId="0" xfId="0" applyFont="1" applyAlignment="1">
      <alignment horizontal="center"/>
    </xf>
    <xf numFmtId="0" fontId="7" fillId="0" borderId="0" xfId="0" applyFont="1" applyAlignment="1">
      <alignment horizontal="center"/>
    </xf>
    <xf numFmtId="0" fontId="19" fillId="0" borderId="0" xfId="0" applyFont="1" applyAlignment="1">
      <alignment horizontal="center"/>
    </xf>
    <xf numFmtId="0" fontId="18" fillId="0" borderId="0" xfId="0" applyFont="1" applyAlignment="1">
      <alignment horizontal="center"/>
    </xf>
    <xf numFmtId="0" fontId="26" fillId="0" borderId="0" xfId="0" applyFont="1" applyAlignment="1">
      <alignment horizontal="center"/>
    </xf>
    <xf numFmtId="0" fontId="16" fillId="0" borderId="0" xfId="0" applyFont="1"/>
    <xf numFmtId="0" fontId="0" fillId="0" borderId="0" xfId="0" applyAlignment="1">
      <alignment horizontal="right"/>
    </xf>
    <xf numFmtId="0" fontId="2" fillId="0" borderId="0" xfId="0" applyFont="1" applyAlignment="1">
      <alignment wrapText="1"/>
    </xf>
    <xf numFmtId="0" fontId="33" fillId="0" borderId="0" xfId="0" applyFont="1" applyAlignment="1">
      <alignment vertical="center"/>
    </xf>
    <xf numFmtId="0" fontId="33"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0" fontId="23" fillId="0" borderId="0" xfId="0" applyFont="1" applyAlignment="1">
      <alignment horizontal="center"/>
    </xf>
    <xf numFmtId="0" fontId="21" fillId="2" borderId="0" xfId="0" applyFont="1" applyFill="1" applyBorder="1" applyAlignment="1">
      <alignment horizontal="center" vertical="center" wrapText="1"/>
    </xf>
    <xf numFmtId="0" fontId="21" fillId="2" borderId="0" xfId="0" applyFont="1" applyFill="1" applyBorder="1" applyAlignment="1">
      <alignment vertical="center" wrapText="1"/>
    </xf>
    <xf numFmtId="0" fontId="21" fillId="0" borderId="0" xfId="0" applyFont="1" applyFill="1" applyBorder="1" applyAlignment="1">
      <alignment horizontal="left" vertical="center" wrapText="1"/>
    </xf>
    <xf numFmtId="0" fontId="0" fillId="0" borderId="0" xfId="0" applyFill="1"/>
    <xf numFmtId="0" fontId="4" fillId="0" borderId="0" xfId="0" applyFont="1" applyFill="1" applyBorder="1" applyAlignment="1">
      <alignment horizontal="left" vertical="center" wrapText="1"/>
    </xf>
    <xf numFmtId="0" fontId="10" fillId="0" borderId="0" xfId="0" applyFont="1" applyFill="1" applyBorder="1" applyAlignment="1">
      <alignment vertical="center" wrapText="1"/>
    </xf>
    <xf numFmtId="0" fontId="0" fillId="2" borderId="0" xfId="0" applyFill="1" applyBorder="1"/>
    <xf numFmtId="0" fontId="12" fillId="2" borderId="0" xfId="0" applyFont="1" applyFill="1" applyBorder="1" applyAlignment="1">
      <alignment vertical="center" wrapText="1"/>
    </xf>
    <xf numFmtId="0" fontId="20" fillId="0" borderId="0" xfId="0" applyFont="1" applyAlignment="1">
      <alignment wrapText="1"/>
    </xf>
    <xf numFmtId="0" fontId="0" fillId="2" borderId="2" xfId="0" applyFill="1" applyBorder="1"/>
    <xf numFmtId="0" fontId="8" fillId="2" borderId="3" xfId="0" applyFont="1" applyFill="1" applyBorder="1"/>
    <xf numFmtId="0" fontId="7" fillId="2" borderId="4" xfId="0" applyFont="1" applyFill="1" applyBorder="1"/>
    <xf numFmtId="0" fontId="7" fillId="2" borderId="5" xfId="0" applyFont="1" applyFill="1" applyBorder="1"/>
    <xf numFmtId="0" fontId="8" fillId="2" borderId="6" xfId="0" applyFont="1" applyFill="1" applyBorder="1"/>
    <xf numFmtId="0" fontId="24" fillId="2" borderId="0" xfId="0" applyFont="1" applyFill="1" applyBorder="1"/>
    <xf numFmtId="0" fontId="0" fillId="2" borderId="7" xfId="0" applyFill="1" applyBorder="1"/>
    <xf numFmtId="0" fontId="8" fillId="2" borderId="8" xfId="0" applyFont="1" applyFill="1" applyBorder="1"/>
    <xf numFmtId="0" fontId="0" fillId="2" borderId="9" xfId="0" applyFill="1" applyBorder="1"/>
    <xf numFmtId="0" fontId="36" fillId="2" borderId="0" xfId="0" applyFont="1" applyFill="1" applyBorder="1" applyAlignment="1">
      <alignment vertical="top" wrapText="1"/>
    </xf>
    <xf numFmtId="0" fontId="13" fillId="2" borderId="6" xfId="0" applyFont="1" applyFill="1" applyBorder="1" applyAlignment="1">
      <alignment wrapText="1"/>
    </xf>
    <xf numFmtId="0" fontId="12" fillId="2" borderId="0" xfId="0" applyFont="1" applyFill="1" applyBorder="1" applyAlignment="1">
      <alignment wrapText="1"/>
    </xf>
    <xf numFmtId="0" fontId="13" fillId="2" borderId="7" xfId="0" applyFont="1" applyFill="1" applyBorder="1" applyAlignment="1">
      <alignment vertical="top" wrapText="1"/>
    </xf>
    <xf numFmtId="0" fontId="5" fillId="2" borderId="6" xfId="0" applyFont="1" applyFill="1" applyBorder="1" applyAlignment="1">
      <alignment vertical="top" wrapText="1"/>
    </xf>
    <xf numFmtId="0" fontId="5" fillId="2" borderId="7" xfId="0" applyFont="1" applyFill="1" applyBorder="1" applyAlignment="1">
      <alignment vertical="top" wrapText="1"/>
    </xf>
    <xf numFmtId="0" fontId="36" fillId="2" borderId="6" xfId="0" applyFont="1" applyFill="1" applyBorder="1" applyAlignment="1">
      <alignment vertical="top" wrapText="1"/>
    </xf>
    <xf numFmtId="0" fontId="36" fillId="2" borderId="7" xfId="0" applyFont="1" applyFill="1" applyBorder="1" applyAlignment="1">
      <alignment vertical="top" wrapText="1"/>
    </xf>
    <xf numFmtId="0" fontId="19" fillId="2" borderId="8" xfId="0" applyFont="1" applyFill="1" applyBorder="1" applyAlignment="1">
      <alignment vertical="top" wrapText="1"/>
    </xf>
    <xf numFmtId="0" fontId="19" fillId="2" borderId="2" xfId="0" applyFont="1" applyFill="1" applyBorder="1" applyAlignment="1">
      <alignment vertical="top" wrapText="1"/>
    </xf>
    <xf numFmtId="0" fontId="19" fillId="2" borderId="9" xfId="0" applyFont="1" applyFill="1" applyBorder="1" applyAlignment="1">
      <alignment vertical="top" wrapText="1"/>
    </xf>
    <xf numFmtId="0" fontId="7" fillId="2" borderId="10" xfId="0" applyFont="1" applyFill="1" applyBorder="1" applyAlignment="1">
      <alignment vertical="center" wrapText="1"/>
    </xf>
    <xf numFmtId="0" fontId="13" fillId="2" borderId="6" xfId="0" applyFont="1" applyFill="1" applyBorder="1" applyAlignment="1">
      <alignment vertical="center" wrapText="1"/>
    </xf>
    <xf numFmtId="0" fontId="13" fillId="2" borderId="7" xfId="0" applyFont="1" applyFill="1" applyBorder="1" applyAlignment="1">
      <alignment vertical="center" wrapText="1"/>
    </xf>
    <xf numFmtId="0" fontId="37" fillId="0" borderId="2" xfId="0" applyFont="1" applyBorder="1" applyAlignment="1">
      <alignment wrapText="1"/>
    </xf>
    <xf numFmtId="0" fontId="37" fillId="2" borderId="0" xfId="0" applyFont="1" applyFill="1" applyBorder="1" applyAlignment="1">
      <alignment wrapText="1"/>
    </xf>
    <xf numFmtId="0" fontId="36" fillId="2" borderId="6" xfId="0" applyFont="1" applyFill="1" applyBorder="1" applyAlignment="1">
      <alignment vertical="center" wrapText="1"/>
    </xf>
    <xf numFmtId="0" fontId="7" fillId="2" borderId="0" xfId="0" applyFont="1" applyFill="1" applyBorder="1" applyAlignment="1">
      <alignment vertical="center" wrapText="1"/>
    </xf>
    <xf numFmtId="0" fontId="36" fillId="2" borderId="7" xfId="0" applyFont="1" applyFill="1" applyBorder="1" applyAlignment="1">
      <alignment vertical="center" wrapText="1"/>
    </xf>
    <xf numFmtId="0" fontId="36" fillId="0" borderId="0" xfId="0" applyFont="1"/>
    <xf numFmtId="14" fontId="7" fillId="0" borderId="0" xfId="0" applyNumberFormat="1" applyFont="1"/>
    <xf numFmtId="0" fontId="39" fillId="0" borderId="0" xfId="0" applyFont="1" applyFill="1" applyBorder="1" applyAlignment="1">
      <alignment horizontal="left"/>
    </xf>
    <xf numFmtId="0" fontId="39" fillId="0" borderId="0" xfId="0" applyFont="1" applyFill="1" applyBorder="1" applyAlignment="1"/>
    <xf numFmtId="0" fontId="0" fillId="0" borderId="0" xfId="0" applyAlignment="1">
      <alignment horizontal="left"/>
    </xf>
    <xf numFmtId="0" fontId="41" fillId="0" borderId="0" xfId="0" applyFont="1" applyFill="1"/>
    <xf numFmtId="0" fontId="47" fillId="0" borderId="2" xfId="0" applyFont="1" applyBorder="1"/>
    <xf numFmtId="0" fontId="0" fillId="0" borderId="2" xfId="0" applyBorder="1" applyAlignment="1">
      <alignment horizontal="center"/>
    </xf>
    <xf numFmtId="2" fontId="0" fillId="0" borderId="0" xfId="0" applyNumberFormat="1"/>
    <xf numFmtId="2" fontId="0" fillId="0" borderId="0" xfId="0" applyNumberFormat="1" applyAlignment="1">
      <alignment horizontal="center"/>
    </xf>
    <xf numFmtId="0" fontId="24" fillId="0" borderId="0" xfId="0" applyFont="1" applyAlignment="1">
      <alignment horizontal="left"/>
    </xf>
    <xf numFmtId="0" fontId="9" fillId="0" borderId="0" xfId="0" applyFont="1" applyBorder="1"/>
    <xf numFmtId="0" fontId="24" fillId="0" borderId="0" xfId="0" applyFont="1"/>
    <xf numFmtId="0" fontId="50" fillId="0" borderId="2" xfId="0" applyFont="1" applyBorder="1"/>
    <xf numFmtId="0" fontId="24" fillId="0" borderId="2" xfId="0" applyFont="1" applyBorder="1" applyAlignment="1">
      <alignment horizontal="center"/>
    </xf>
    <xf numFmtId="0" fontId="6" fillId="3" borderId="0" xfId="0" applyFont="1" applyFill="1" applyAlignment="1">
      <alignment horizontal="left"/>
    </xf>
    <xf numFmtId="0" fontId="0" fillId="3" borderId="0" xfId="0" applyFill="1" applyAlignment="1">
      <alignment horizontal="left"/>
    </xf>
    <xf numFmtId="0" fontId="51" fillId="0" borderId="0" xfId="0" applyFont="1"/>
    <xf numFmtId="0" fontId="13" fillId="4" borderId="0" xfId="0" applyFont="1" applyFill="1" applyBorder="1" applyAlignment="1">
      <alignment horizontal="center"/>
    </xf>
    <xf numFmtId="0" fontId="13" fillId="4" borderId="0" xfId="0" applyFont="1" applyFill="1" applyBorder="1"/>
    <xf numFmtId="0" fontId="13" fillId="2" borderId="0" xfId="0" applyFont="1" applyFill="1" applyBorder="1" applyAlignment="1">
      <alignment horizontal="center"/>
    </xf>
    <xf numFmtId="0" fontId="6" fillId="0" borderId="0" xfId="0" applyFont="1" applyFill="1"/>
    <xf numFmtId="0" fontId="7" fillId="0" borderId="0" xfId="0" applyFont="1" applyFill="1"/>
    <xf numFmtId="0" fontId="9" fillId="0" borderId="0" xfId="0" applyFont="1" applyFill="1"/>
    <xf numFmtId="0" fontId="11" fillId="0" borderId="0" xfId="0" applyFont="1" applyFill="1"/>
    <xf numFmtId="0" fontId="2" fillId="0" borderId="0" xfId="0" applyFont="1" applyFill="1" applyAlignment="1"/>
    <xf numFmtId="0" fontId="0" fillId="0" borderId="0" xfId="0" applyFill="1" applyAlignment="1"/>
    <xf numFmtId="0" fontId="24" fillId="0" borderId="0" xfId="0" applyFont="1" applyFill="1"/>
    <xf numFmtId="0" fontId="39" fillId="0" borderId="0" xfId="0" applyFont="1" applyFill="1" applyBorder="1" applyAlignment="1">
      <alignment horizontal="center"/>
    </xf>
    <xf numFmtId="0" fontId="0" fillId="0" borderId="0" xfId="0" applyProtection="1">
      <protection locked="0"/>
    </xf>
    <xf numFmtId="0" fontId="7" fillId="2" borderId="4" xfId="0" applyFont="1" applyFill="1" applyBorder="1" applyProtection="1">
      <protection locked="0"/>
    </xf>
    <xf numFmtId="0" fontId="35" fillId="0" borderId="0" xfId="0" applyFont="1" applyAlignment="1">
      <alignment horizontal="left" vertical="center"/>
    </xf>
    <xf numFmtId="0" fontId="7"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27" fillId="2" borderId="13" xfId="0" applyFont="1" applyFill="1" applyBorder="1" applyAlignment="1">
      <alignment horizontal="center" vertical="center" wrapText="1"/>
    </xf>
    <xf numFmtId="3" fontId="9" fillId="2" borderId="11" xfId="0" applyNumberFormat="1" applyFont="1" applyFill="1" applyBorder="1" applyAlignment="1">
      <alignment horizontal="right" vertical="center" indent="1"/>
    </xf>
    <xf numFmtId="0" fontId="13" fillId="2" borderId="12" xfId="0" applyFont="1" applyFill="1" applyBorder="1" applyAlignment="1">
      <alignment vertical="center" wrapText="1"/>
    </xf>
    <xf numFmtId="10" fontId="12" fillId="0" borderId="0" xfId="0" applyNumberFormat="1" applyFont="1" applyBorder="1" applyAlignment="1">
      <alignment horizontal="center" vertical="center" wrapText="1"/>
    </xf>
    <xf numFmtId="4" fontId="12" fillId="0" borderId="0" xfId="0" applyNumberFormat="1" applyFont="1" applyBorder="1" applyAlignment="1">
      <alignment vertical="center" wrapText="1"/>
    </xf>
    <xf numFmtId="10" fontId="30" fillId="0" borderId="0" xfId="0" applyNumberFormat="1" applyFont="1" applyBorder="1" applyAlignment="1">
      <alignment horizontal="center" vertical="center" wrapText="1"/>
    </xf>
    <xf numFmtId="4" fontId="30" fillId="0" borderId="0" xfId="0" applyNumberFormat="1" applyFont="1" applyBorder="1" applyAlignment="1">
      <alignment horizontal="center" vertical="center" wrapText="1"/>
    </xf>
    <xf numFmtId="43" fontId="0" fillId="0" borderId="0" xfId="2" applyFont="1"/>
    <xf numFmtId="0" fontId="2" fillId="0" borderId="0" xfId="0" applyFont="1" applyBorder="1" applyAlignment="1">
      <alignment wrapText="1"/>
    </xf>
    <xf numFmtId="0" fontId="7" fillId="2" borderId="12" xfId="0" applyFont="1" applyFill="1" applyBorder="1" applyAlignment="1">
      <alignment horizontal="center" vertical="center" wrapText="1"/>
    </xf>
    <xf numFmtId="0" fontId="63" fillId="0" borderId="0" xfId="0" applyFont="1" applyAlignment="1">
      <alignment vertical="center"/>
    </xf>
    <xf numFmtId="0" fontId="7" fillId="2" borderId="14" xfId="0" applyFont="1" applyFill="1" applyBorder="1" applyAlignment="1">
      <alignment horizontal="center" vertical="center" wrapText="1"/>
    </xf>
    <xf numFmtId="0" fontId="26" fillId="0" borderId="0" xfId="0" applyFont="1" applyBorder="1" applyAlignment="1">
      <alignment horizontal="center" wrapText="1"/>
    </xf>
    <xf numFmtId="4" fontId="3" fillId="0" borderId="0" xfId="0" applyNumberFormat="1" applyFont="1" applyFill="1" applyBorder="1" applyAlignment="1">
      <alignment vertical="center" wrapText="1"/>
    </xf>
    <xf numFmtId="0" fontId="3" fillId="0" borderId="0" xfId="0" applyFont="1" applyFill="1" applyBorder="1" applyAlignment="1">
      <alignment vertical="center" wrapText="1"/>
    </xf>
    <xf numFmtId="4" fontId="13" fillId="0" borderId="0" xfId="0" applyNumberFormat="1" applyFont="1" applyFill="1" applyBorder="1" applyAlignment="1">
      <alignment vertical="center" wrapText="1"/>
    </xf>
    <xf numFmtId="0" fontId="7" fillId="0" borderId="0" xfId="0" applyFont="1" applyFill="1" applyBorder="1"/>
    <xf numFmtId="0" fontId="11" fillId="0" borderId="0" xfId="0" applyFont="1" applyFill="1" applyBorder="1" applyAlignment="1" applyProtection="1">
      <alignment horizontal="center" vertical="center" wrapText="1"/>
      <protection locked="0"/>
    </xf>
    <xf numFmtId="0" fontId="7" fillId="0" borderId="0" xfId="0" applyFont="1" applyFill="1" applyBorder="1" applyAlignment="1" applyProtection="1">
      <alignment vertical="center" wrapText="1"/>
      <protection locked="0"/>
    </xf>
    <xf numFmtId="43" fontId="7" fillId="0" borderId="0" xfId="2" applyNumberFormat="1" applyFont="1" applyFill="1" applyBorder="1" applyAlignment="1" applyProtection="1">
      <alignment vertical="center" wrapText="1"/>
      <protection locked="0"/>
    </xf>
    <xf numFmtId="4" fontId="7" fillId="0" borderId="0" xfId="0" applyNumberFormat="1" applyFont="1" applyFill="1" applyBorder="1" applyAlignment="1" applyProtection="1">
      <alignment horizontal="right" vertical="center" wrapText="1" indent="1"/>
      <protection locked="0"/>
    </xf>
    <xf numFmtId="0" fontId="0" fillId="0" borderId="0" xfId="0" applyFill="1" applyBorder="1"/>
    <xf numFmtId="0" fontId="55" fillId="2" borderId="15" xfId="0" applyFont="1" applyFill="1" applyBorder="1" applyAlignment="1">
      <alignment horizontal="center" vertical="center" wrapText="1"/>
    </xf>
    <xf numFmtId="0" fontId="7" fillId="0" borderId="0" xfId="0" applyFont="1" applyFill="1" applyBorder="1" applyAlignment="1">
      <alignment vertical="top" wrapText="1"/>
    </xf>
    <xf numFmtId="0" fontId="0" fillId="0" borderId="0" xfId="0" applyFill="1" applyBorder="1" applyAlignment="1">
      <alignment horizontal="center"/>
    </xf>
    <xf numFmtId="2" fontId="9" fillId="0" borderId="0" xfId="0" applyNumberFormat="1" applyFont="1" applyFill="1" applyBorder="1"/>
    <xf numFmtId="0" fontId="65" fillId="0" borderId="0" xfId="0" applyFont="1" applyFill="1" applyBorder="1" applyAlignment="1">
      <alignment horizontal="center" vertical="top" wrapText="1"/>
    </xf>
    <xf numFmtId="4" fontId="9" fillId="0" borderId="0" xfId="0" applyNumberFormat="1" applyFont="1" applyFill="1" applyBorder="1"/>
    <xf numFmtId="0" fontId="13" fillId="0" borderId="0" xfId="0" applyFont="1" applyFill="1" applyBorder="1" applyAlignment="1">
      <alignment vertical="top" wrapText="1"/>
    </xf>
    <xf numFmtId="0" fontId="13" fillId="0" borderId="0" xfId="0" applyFont="1" applyBorder="1" applyAlignment="1">
      <alignment horizontal="center"/>
    </xf>
    <xf numFmtId="0" fontId="13" fillId="0" borderId="0" xfId="0" applyFont="1" applyFill="1" applyBorder="1" applyAlignment="1">
      <alignment horizontal="center" vertical="top" wrapText="1"/>
    </xf>
    <xf numFmtId="0" fontId="66" fillId="0" borderId="0" xfId="0" applyFont="1" applyFill="1" applyBorder="1" applyAlignment="1">
      <alignment horizontal="center" vertical="top" wrapText="1"/>
    </xf>
    <xf numFmtId="0" fontId="16" fillId="0" borderId="0" xfId="0" applyFont="1" applyFill="1" applyBorder="1" applyAlignment="1">
      <alignment horizontal="left"/>
    </xf>
    <xf numFmtId="0" fontId="4" fillId="0" borderId="0" xfId="0" applyFont="1" applyFill="1" applyBorder="1" applyAlignment="1">
      <alignment horizontal="right" indent="2"/>
    </xf>
    <xf numFmtId="0" fontId="67" fillId="0" borderId="0" xfId="0" applyFont="1" applyFill="1" applyBorder="1" applyAlignment="1">
      <alignment horizontal="center" vertical="top" wrapText="1"/>
    </xf>
    <xf numFmtId="0" fontId="12" fillId="2" borderId="12"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56" fillId="2" borderId="14" xfId="0" applyFont="1" applyFill="1" applyBorder="1" applyAlignment="1">
      <alignment horizontal="center" vertical="center"/>
    </xf>
    <xf numFmtId="0" fontId="56" fillId="2" borderId="16" xfId="0" applyFont="1" applyFill="1" applyBorder="1" applyAlignment="1">
      <alignment horizontal="center" vertical="center"/>
    </xf>
    <xf numFmtId="0" fontId="9" fillId="2" borderId="10" xfId="0" applyFont="1" applyFill="1" applyBorder="1" applyAlignment="1">
      <alignment vertical="center" wrapText="1"/>
    </xf>
    <xf numFmtId="0" fontId="12" fillId="2" borderId="14" xfId="0" applyFont="1" applyFill="1" applyBorder="1" applyAlignment="1">
      <alignment horizontal="center" vertical="center" wrapText="1"/>
    </xf>
    <xf numFmtId="14" fontId="13" fillId="4" borderId="0" xfId="0" applyNumberFormat="1" applyFont="1" applyFill="1" applyBorder="1" applyAlignment="1">
      <alignment horizontal="center"/>
    </xf>
    <xf numFmtId="0" fontId="4" fillId="2" borderId="17" xfId="0" applyFont="1" applyFill="1" applyBorder="1" applyAlignment="1">
      <alignment horizontal="center" vertical="center" wrapText="1"/>
    </xf>
    <xf numFmtId="0" fontId="4" fillId="2" borderId="12" xfId="0" applyFont="1" applyFill="1" applyBorder="1" applyAlignment="1">
      <alignment vertical="center" wrapText="1"/>
    </xf>
    <xf numFmtId="3" fontId="7" fillId="2" borderId="12" xfId="0" applyNumberFormat="1" applyFont="1" applyFill="1" applyBorder="1" applyAlignment="1">
      <alignment horizontal="right" vertical="center" wrapText="1" indent="1"/>
    </xf>
    <xf numFmtId="0" fontId="4" fillId="2" borderId="17" xfId="0" applyFont="1" applyFill="1" applyBorder="1" applyAlignment="1">
      <alignment vertical="center" wrapText="1"/>
    </xf>
    <xf numFmtId="0" fontId="4" fillId="2" borderId="10" xfId="0" applyFont="1" applyFill="1" applyBorder="1" applyAlignment="1">
      <alignment vertical="center" wrapText="1"/>
    </xf>
    <xf numFmtId="0" fontId="10" fillId="2" borderId="12"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0" fillId="2" borderId="12" xfId="0" applyFill="1" applyBorder="1" applyAlignment="1">
      <alignment horizontal="center" vertical="center"/>
    </xf>
    <xf numFmtId="0" fontId="0" fillId="2" borderId="18" xfId="0" applyFill="1" applyBorder="1" applyAlignment="1">
      <alignment horizontal="center" vertical="center"/>
    </xf>
    <xf numFmtId="0" fontId="0" fillId="2" borderId="16" xfId="0" applyFill="1" applyBorder="1" applyAlignment="1">
      <alignment horizontal="center" vertical="center"/>
    </xf>
    <xf numFmtId="0" fontId="0" fillId="2" borderId="14" xfId="0" applyFill="1" applyBorder="1" applyAlignment="1">
      <alignment horizontal="center" vertical="center"/>
    </xf>
    <xf numFmtId="0" fontId="10" fillId="2" borderId="10" xfId="0" applyFont="1" applyFill="1" applyBorder="1" applyAlignment="1">
      <alignment horizontal="center" vertical="center" wrapText="1"/>
    </xf>
    <xf numFmtId="0" fontId="25" fillId="2" borderId="4" xfId="0" applyFont="1" applyFill="1" applyBorder="1" applyAlignment="1" applyProtection="1">
      <alignment horizontal="center"/>
      <protection hidden="1"/>
    </xf>
    <xf numFmtId="0" fontId="25" fillId="2" borderId="2" xfId="0" applyFont="1" applyFill="1" applyBorder="1" applyAlignment="1" applyProtection="1">
      <alignment horizontal="center" vertical="center" wrapText="1"/>
      <protection hidden="1"/>
    </xf>
    <xf numFmtId="0" fontId="25" fillId="2" borderId="2" xfId="0" applyFont="1" applyFill="1" applyBorder="1" applyAlignment="1">
      <alignment horizontal="center" vertical="center" wrapText="1"/>
    </xf>
    <xf numFmtId="0" fontId="25" fillId="2" borderId="12" xfId="0" applyNumberFormat="1" applyFont="1" applyFill="1" applyBorder="1" applyAlignment="1">
      <alignment vertical="center" wrapText="1"/>
    </xf>
    <xf numFmtId="4" fontId="25" fillId="2" borderId="15" xfId="0" applyNumberFormat="1" applyFont="1" applyFill="1" applyBorder="1" applyAlignment="1" applyProtection="1">
      <alignment vertical="center" wrapText="1"/>
      <protection hidden="1"/>
    </xf>
    <xf numFmtId="0" fontId="9" fillId="2" borderId="19"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9" fillId="2" borderId="12" xfId="0" applyFont="1" applyFill="1" applyBorder="1" applyAlignment="1">
      <alignment vertical="center" wrapText="1"/>
    </xf>
    <xf numFmtId="0" fontId="21" fillId="2" borderId="1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3" fillId="2" borderId="17" xfId="0" applyFont="1" applyFill="1" applyBorder="1" applyAlignment="1">
      <alignment vertical="center" wrapText="1"/>
    </xf>
    <xf numFmtId="4" fontId="13" fillId="0" borderId="0" xfId="0" applyNumberFormat="1" applyFont="1" applyBorder="1" applyAlignment="1">
      <alignment vertical="center" wrapText="1"/>
    </xf>
    <xf numFmtId="0" fontId="0" fillId="0" borderId="17" xfId="0" applyBorder="1"/>
    <xf numFmtId="0" fontId="32" fillId="2" borderId="2" xfId="0" applyFont="1" applyFill="1" applyBorder="1" applyAlignment="1">
      <alignment horizontal="center" vertical="top" wrapText="1"/>
    </xf>
    <xf numFmtId="0" fontId="12" fillId="2" borderId="19" xfId="0" applyFont="1" applyFill="1" applyBorder="1" applyAlignment="1">
      <alignment vertical="center" wrapText="1"/>
    </xf>
    <xf numFmtId="4" fontId="9" fillId="2" borderId="17" xfId="0" applyNumberFormat="1" applyFont="1" applyFill="1" applyBorder="1" applyAlignment="1">
      <alignment vertical="center"/>
    </xf>
    <xf numFmtId="0" fontId="21" fillId="2" borderId="12" xfId="0" applyFont="1" applyFill="1" applyBorder="1" applyAlignment="1">
      <alignment vertical="center" wrapText="1"/>
    </xf>
    <xf numFmtId="0" fontId="21" fillId="2" borderId="10" xfId="0" applyFont="1" applyFill="1" applyBorder="1" applyAlignment="1">
      <alignment horizontal="left" vertical="center" wrapText="1"/>
    </xf>
    <xf numFmtId="0" fontId="21" fillId="2" borderId="17" xfId="0" applyFont="1" applyFill="1" applyBorder="1" applyAlignment="1">
      <alignment vertical="center" wrapText="1"/>
    </xf>
    <xf numFmtId="0" fontId="21" fillId="2" borderId="5" xfId="0" applyFont="1" applyFill="1" applyBorder="1" applyAlignment="1">
      <alignment horizontal="left" vertical="center" wrapText="1"/>
    </xf>
    <xf numFmtId="0" fontId="21" fillId="2" borderId="7" xfId="0" applyFont="1" applyFill="1" applyBorder="1" applyAlignment="1">
      <alignment vertical="center" wrapText="1"/>
    </xf>
    <xf numFmtId="0" fontId="21" fillId="2" borderId="7" xfId="0" applyFont="1" applyFill="1" applyBorder="1" applyAlignment="1">
      <alignment horizontal="center" vertical="center" wrapText="1"/>
    </xf>
    <xf numFmtId="0" fontId="21" fillId="2" borderId="10" xfId="0" applyFont="1" applyFill="1" applyBorder="1" applyAlignment="1">
      <alignment vertical="center" wrapText="1"/>
    </xf>
    <xf numFmtId="0" fontId="12" fillId="0" borderId="0" xfId="0" applyFont="1" applyBorder="1" applyAlignment="1">
      <alignment horizontal="center" vertical="top" wrapText="1"/>
    </xf>
    <xf numFmtId="0" fontId="11" fillId="0" borderId="0" xfId="0" applyFont="1" applyBorder="1" applyAlignment="1">
      <alignment vertical="top" wrapText="1"/>
    </xf>
    <xf numFmtId="0" fontId="13" fillId="0" borderId="0" xfId="0" applyFont="1" applyBorder="1" applyAlignment="1">
      <alignment vertical="top" wrapText="1"/>
    </xf>
    <xf numFmtId="0" fontId="12" fillId="2" borderId="19" xfId="0" applyFont="1" applyFill="1" applyBorder="1" applyAlignment="1">
      <alignment vertical="top" wrapText="1"/>
    </xf>
    <xf numFmtId="0" fontId="4" fillId="2" borderId="12" xfId="0" applyFont="1" applyFill="1" applyBorder="1" applyAlignment="1">
      <alignment wrapText="1"/>
    </xf>
    <xf numFmtId="0" fontId="13" fillId="0" borderId="0" xfId="0" applyFont="1" applyBorder="1" applyAlignment="1">
      <alignment vertical="center" wrapText="1"/>
    </xf>
    <xf numFmtId="0" fontId="13" fillId="0" borderId="0" xfId="0" applyFont="1" applyBorder="1" applyAlignment="1">
      <alignment horizontal="center" vertical="center" wrapText="1"/>
    </xf>
    <xf numFmtId="0" fontId="21" fillId="0" borderId="0" xfId="0" applyFont="1" applyBorder="1" applyAlignment="1">
      <alignment horizontal="center" wrapText="1"/>
    </xf>
    <xf numFmtId="0" fontId="13" fillId="2" borderId="10" xfId="0" applyFont="1" applyFill="1" applyBorder="1" applyAlignment="1">
      <alignment vertical="center" wrapText="1"/>
    </xf>
    <xf numFmtId="0" fontId="4" fillId="2" borderId="11" xfId="0" applyFont="1" applyFill="1" applyBorder="1" applyAlignment="1">
      <alignment horizontal="center" vertical="center" wrapText="1"/>
    </xf>
    <xf numFmtId="184" fontId="4" fillId="2" borderId="11" xfId="0" applyNumberFormat="1" applyFont="1" applyFill="1" applyBorder="1" applyAlignment="1">
      <alignment horizontal="center" vertical="center" wrapText="1"/>
    </xf>
    <xf numFmtId="0" fontId="25" fillId="2" borderId="4" xfId="0" applyFont="1" applyFill="1" applyBorder="1" applyAlignment="1">
      <alignment horizontal="center"/>
    </xf>
    <xf numFmtId="0" fontId="11" fillId="2" borderId="17" xfId="0" applyNumberFormat="1" applyFont="1" applyFill="1" applyBorder="1" applyAlignment="1">
      <alignment horizontal="center" vertical="center"/>
    </xf>
    <xf numFmtId="0" fontId="9" fillId="2" borderId="10" xfId="0" applyFont="1" applyFill="1" applyBorder="1" applyAlignment="1">
      <alignment horizontal="center" vertical="center" wrapText="1"/>
    </xf>
    <xf numFmtId="0" fontId="56" fillId="2" borderId="18" xfId="0" applyFont="1" applyFill="1" applyBorder="1" applyAlignment="1">
      <alignment horizontal="center" vertical="center"/>
    </xf>
    <xf numFmtId="0" fontId="68" fillId="0" borderId="0" xfId="0" applyFont="1" applyFill="1" applyBorder="1" applyAlignment="1"/>
    <xf numFmtId="0" fontId="56" fillId="2" borderId="16" xfId="0" applyFont="1" applyFill="1" applyBorder="1" applyAlignment="1">
      <alignment horizontal="center"/>
    </xf>
    <xf numFmtId="0" fontId="17" fillId="2" borderId="16" xfId="0" applyFont="1" applyFill="1" applyBorder="1" applyAlignment="1">
      <alignment horizontal="center" vertical="top" wrapText="1"/>
    </xf>
    <xf numFmtId="10" fontId="30" fillId="0" borderId="0" xfId="0" applyNumberFormat="1" applyFont="1" applyFill="1" applyBorder="1" applyAlignment="1">
      <alignment horizontal="center" vertical="center" wrapText="1"/>
    </xf>
    <xf numFmtId="4" fontId="30" fillId="0" borderId="0" xfId="0" applyNumberFormat="1" applyFont="1" applyFill="1" applyBorder="1" applyAlignment="1">
      <alignment horizontal="center" vertical="center" wrapText="1"/>
    </xf>
    <xf numFmtId="0" fontId="9" fillId="5" borderId="11" xfId="0" applyFont="1" applyFill="1" applyBorder="1" applyAlignment="1" applyProtection="1">
      <alignment horizontal="center"/>
      <protection locked="0"/>
    </xf>
    <xf numFmtId="0" fontId="10" fillId="5" borderId="11" xfId="0" applyFont="1" applyFill="1" applyBorder="1" applyAlignment="1">
      <alignment horizontal="center"/>
    </xf>
    <xf numFmtId="0" fontId="3" fillId="2" borderId="19" xfId="0" applyFont="1" applyFill="1" applyBorder="1" applyAlignment="1">
      <alignment horizontal="center" vertical="center"/>
    </xf>
    <xf numFmtId="4" fontId="3" fillId="2" borderId="11" xfId="0" applyNumberFormat="1" applyFont="1" applyFill="1" applyBorder="1" applyAlignment="1">
      <alignment horizontal="right" vertical="center" wrapText="1" indent="1"/>
    </xf>
    <xf numFmtId="0" fontId="0" fillId="0" borderId="20" xfId="0" applyBorder="1"/>
    <xf numFmtId="0" fontId="0" fillId="0" borderId="21" xfId="0" applyBorder="1"/>
    <xf numFmtId="0" fontId="0" fillId="0" borderId="13" xfId="0" applyBorder="1"/>
    <xf numFmtId="0" fontId="0" fillId="0" borderId="22" xfId="0" applyBorder="1"/>
    <xf numFmtId="0" fontId="69" fillId="0" borderId="0" xfId="0" applyFont="1" applyBorder="1"/>
    <xf numFmtId="0" fontId="0" fillId="0" borderId="23" xfId="0" applyBorder="1"/>
    <xf numFmtId="0" fontId="0" fillId="0" borderId="22" xfId="0" applyFill="1" applyBorder="1"/>
    <xf numFmtId="0" fontId="0" fillId="0" borderId="15" xfId="0" applyBorder="1"/>
    <xf numFmtId="0" fontId="0" fillId="0" borderId="24" xfId="0" applyBorder="1"/>
    <xf numFmtId="0" fontId="70" fillId="0" borderId="0" xfId="0" applyFont="1" applyBorder="1"/>
    <xf numFmtId="0" fontId="0" fillId="0" borderId="25" xfId="0" applyBorder="1"/>
    <xf numFmtId="0" fontId="6" fillId="0" borderId="0" xfId="0" applyFont="1" applyBorder="1"/>
    <xf numFmtId="0" fontId="1" fillId="0" borderId="0" xfId="0" applyFont="1"/>
    <xf numFmtId="49" fontId="6" fillId="0" borderId="0" xfId="0" applyNumberFormat="1" applyFont="1" applyBorder="1"/>
    <xf numFmtId="0" fontId="7" fillId="0" borderId="15" xfId="0" applyFont="1" applyBorder="1"/>
    <xf numFmtId="0" fontId="73" fillId="0" borderId="0" xfId="0" applyFont="1" applyAlignment="1">
      <alignment horizontal="right"/>
    </xf>
    <xf numFmtId="0" fontId="11" fillId="0" borderId="26" xfId="0" applyFont="1" applyBorder="1" applyAlignment="1">
      <alignment horizontal="center" vertical="center" wrapText="1"/>
    </xf>
    <xf numFmtId="0" fontId="12" fillId="0" borderId="27" xfId="0" applyFont="1" applyBorder="1" applyAlignment="1">
      <alignment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28" xfId="0" applyFont="1" applyBorder="1" applyAlignment="1">
      <alignment vertical="center" wrapText="1"/>
    </xf>
    <xf numFmtId="0" fontId="12" fillId="0" borderId="28" xfId="0" applyFont="1" applyBorder="1" applyAlignment="1">
      <alignment horizontal="center" vertical="center" wrapText="1"/>
    </xf>
    <xf numFmtId="3" fontId="9" fillId="2" borderId="11" xfId="0" applyNumberFormat="1" applyFont="1" applyFill="1" applyBorder="1" applyAlignment="1">
      <alignment horizontal="right" vertical="center" wrapText="1" indent="1"/>
    </xf>
    <xf numFmtId="0" fontId="7" fillId="6" borderId="26" xfId="0" applyFont="1" applyFill="1" applyBorder="1" applyAlignment="1" applyProtection="1">
      <alignment horizontal="center" vertical="center" wrapText="1"/>
      <protection locked="0"/>
    </xf>
    <xf numFmtId="0" fontId="7" fillId="6" borderId="28" xfId="0" applyFont="1" applyFill="1" applyBorder="1" applyAlignment="1" applyProtection="1">
      <alignment horizontal="center" vertical="center" wrapText="1"/>
      <protection locked="0"/>
    </xf>
    <xf numFmtId="0" fontId="7" fillId="6" borderId="29" xfId="0" applyFont="1" applyFill="1" applyBorder="1" applyAlignment="1" applyProtection="1">
      <alignment horizontal="center" vertical="center" wrapText="1"/>
      <protection locked="0"/>
    </xf>
    <xf numFmtId="0" fontId="25" fillId="0" borderId="28" xfId="0" applyNumberFormat="1" applyFont="1" applyFill="1" applyBorder="1" applyAlignment="1" applyProtection="1">
      <alignment vertical="center" wrapText="1"/>
      <protection hidden="1"/>
    </xf>
    <xf numFmtId="0" fontId="25" fillId="0" borderId="30" xfId="0" applyNumberFormat="1" applyFont="1" applyFill="1" applyBorder="1" applyAlignment="1" applyProtection="1">
      <alignment vertical="center" wrapText="1"/>
      <protection hidden="1"/>
    </xf>
    <xf numFmtId="0" fontId="25" fillId="0" borderId="26" xfId="0" applyNumberFormat="1" applyFont="1" applyFill="1" applyBorder="1" applyAlignment="1">
      <alignment vertical="center" wrapText="1"/>
    </xf>
    <xf numFmtId="0" fontId="25" fillId="0" borderId="28" xfId="0" applyNumberFormat="1" applyFont="1" applyFill="1" applyBorder="1" applyAlignment="1">
      <alignment vertical="center" wrapText="1"/>
    </xf>
    <xf numFmtId="0" fontId="25" fillId="0" borderId="30" xfId="0" applyNumberFormat="1" applyFont="1" applyFill="1" applyBorder="1" applyAlignment="1">
      <alignment vertical="center" wrapText="1"/>
    </xf>
    <xf numFmtId="0" fontId="17" fillId="0" borderId="26" xfId="0" applyFont="1" applyBorder="1" applyAlignment="1">
      <alignment horizontal="center" vertical="center" wrapText="1"/>
    </xf>
    <xf numFmtId="49" fontId="12" fillId="7" borderId="26" xfId="0" applyNumberFormat="1" applyFont="1" applyFill="1" applyBorder="1" applyAlignment="1">
      <alignment horizontal="center" vertical="center" wrapText="1"/>
    </xf>
    <xf numFmtId="0" fontId="12" fillId="7" borderId="31" xfId="0" applyNumberFormat="1" applyFont="1" applyFill="1" applyBorder="1" applyAlignment="1">
      <alignment horizontal="center" vertical="center" wrapText="1"/>
    </xf>
    <xf numFmtId="0" fontId="17" fillId="0" borderId="28" xfId="0" applyFont="1" applyBorder="1" applyAlignment="1">
      <alignment horizontal="center" vertical="center" wrapText="1"/>
    </xf>
    <xf numFmtId="49" fontId="12" fillId="7" borderId="28" xfId="0" applyNumberFormat="1" applyFont="1" applyFill="1" applyBorder="1" applyAlignment="1">
      <alignment horizontal="center" vertical="center" wrapText="1"/>
    </xf>
    <xf numFmtId="49" fontId="12" fillId="7" borderId="32" xfId="0" applyNumberFormat="1" applyFont="1" applyFill="1" applyBorder="1" applyAlignment="1">
      <alignment horizontal="center" vertical="center" wrapText="1"/>
    </xf>
    <xf numFmtId="0" fontId="17" fillId="0" borderId="29" xfId="0" applyFont="1" applyBorder="1" applyAlignment="1">
      <alignment horizontal="center" vertical="center" wrapText="1"/>
    </xf>
    <xf numFmtId="49" fontId="12" fillId="7" borderId="29" xfId="0" applyNumberFormat="1" applyFont="1" applyFill="1" applyBorder="1" applyAlignment="1">
      <alignment horizontal="center" vertical="center" wrapText="1"/>
    </xf>
    <xf numFmtId="49" fontId="12" fillId="7" borderId="33" xfId="0" applyNumberFormat="1" applyFont="1" applyFill="1" applyBorder="1" applyAlignment="1">
      <alignment horizontal="center" vertical="center" wrapText="1"/>
    </xf>
    <xf numFmtId="0" fontId="11" fillId="8" borderId="34" xfId="0" applyFont="1" applyFill="1" applyBorder="1" applyAlignment="1">
      <alignment horizontal="center" vertical="center" wrapText="1"/>
    </xf>
    <xf numFmtId="0" fontId="17" fillId="2" borderId="26" xfId="0" applyFont="1" applyFill="1" applyBorder="1" applyAlignment="1">
      <alignment vertical="top" wrapText="1"/>
    </xf>
    <xf numFmtId="4" fontId="12" fillId="2" borderId="26" xfId="0" applyNumberFormat="1" applyFont="1" applyFill="1" applyBorder="1" applyAlignment="1">
      <alignment horizontal="center" vertical="center" wrapText="1"/>
    </xf>
    <xf numFmtId="0" fontId="11" fillId="8" borderId="35" xfId="0" applyFont="1" applyFill="1" applyBorder="1" applyAlignment="1">
      <alignment horizontal="center" vertical="center" wrapText="1"/>
    </xf>
    <xf numFmtId="0" fontId="17" fillId="2" borderId="28" xfId="0" applyFont="1" applyFill="1" applyBorder="1" applyAlignment="1">
      <alignment vertical="top" wrapText="1"/>
    </xf>
    <xf numFmtId="4" fontId="12" fillId="2" borderId="28" xfId="0" applyNumberFormat="1" applyFont="1" applyFill="1" applyBorder="1" applyAlignment="1">
      <alignment horizontal="center" vertical="center" wrapText="1"/>
    </xf>
    <xf numFmtId="1" fontId="12" fillId="0" borderId="35" xfId="0" applyNumberFormat="1" applyFont="1" applyFill="1" applyBorder="1" applyAlignment="1">
      <alignment horizontal="center" vertical="center" wrapText="1"/>
    </xf>
    <xf numFmtId="0" fontId="11" fillId="2" borderId="28" xfId="0" applyFont="1" applyFill="1" applyBorder="1" applyAlignment="1">
      <alignment horizontal="center" vertical="center" wrapText="1"/>
    </xf>
    <xf numFmtId="3" fontId="10" fillId="2" borderId="28" xfId="0" applyNumberFormat="1" applyFont="1" applyFill="1" applyBorder="1" applyAlignment="1">
      <alignment horizontal="center" vertical="center" wrapText="1"/>
    </xf>
    <xf numFmtId="1" fontId="12" fillId="0" borderId="36" xfId="0" applyNumberFormat="1" applyFont="1" applyFill="1" applyBorder="1" applyAlignment="1">
      <alignment horizontal="center" vertical="center" wrapText="1"/>
    </xf>
    <xf numFmtId="0" fontId="11" fillId="2" borderId="29" xfId="0" applyFont="1" applyFill="1" applyBorder="1" applyAlignment="1">
      <alignment horizontal="center" vertical="center" wrapText="1"/>
    </xf>
    <xf numFmtId="3" fontId="10" fillId="2" borderId="29" xfId="0" applyNumberFormat="1" applyFont="1" applyFill="1" applyBorder="1" applyAlignment="1">
      <alignment horizontal="center" vertical="center" wrapText="1"/>
    </xf>
    <xf numFmtId="0" fontId="17" fillId="2" borderId="29" xfId="0" applyFont="1" applyFill="1" applyBorder="1" applyAlignment="1">
      <alignment vertical="top" wrapText="1"/>
    </xf>
    <xf numFmtId="4" fontId="12" fillId="2" borderId="29" xfId="0" applyNumberFormat="1" applyFont="1" applyFill="1" applyBorder="1" applyAlignment="1">
      <alignment horizontal="center" vertical="center" wrapText="1"/>
    </xf>
    <xf numFmtId="3" fontId="9" fillId="2" borderId="11" xfId="2" applyNumberFormat="1" applyFont="1" applyFill="1" applyBorder="1" applyAlignment="1">
      <alignment horizontal="right" vertical="center" wrapText="1" indent="1"/>
    </xf>
    <xf numFmtId="3" fontId="9" fillId="2" borderId="11" xfId="0" applyNumberFormat="1" applyFont="1" applyFill="1" applyBorder="1" applyAlignment="1">
      <alignment horizontal="center" vertical="center" wrapText="1"/>
    </xf>
    <xf numFmtId="0" fontId="13" fillId="6" borderId="37" xfId="0" applyFont="1" applyFill="1" applyBorder="1" applyAlignment="1" applyProtection="1">
      <alignment vertical="center" wrapText="1"/>
      <protection locked="0"/>
    </xf>
    <xf numFmtId="0" fontId="13" fillId="6" borderId="26" xfId="0" applyFont="1" applyFill="1" applyBorder="1" applyAlignment="1" applyProtection="1">
      <alignment vertical="center" wrapText="1"/>
      <protection locked="0"/>
    </xf>
    <xf numFmtId="4" fontId="13" fillId="6" borderId="26" xfId="0" applyNumberFormat="1" applyFont="1" applyFill="1" applyBorder="1" applyAlignment="1" applyProtection="1">
      <alignment horizontal="right" vertical="center" wrapText="1" indent="1"/>
      <protection locked="0"/>
    </xf>
    <xf numFmtId="0" fontId="13" fillId="6" borderId="27" xfId="0" applyFont="1" applyFill="1" applyBorder="1" applyAlignment="1" applyProtection="1">
      <alignment vertical="center" wrapText="1"/>
      <protection locked="0"/>
    </xf>
    <xf numFmtId="0" fontId="13" fillId="6" borderId="28" xfId="0" applyFont="1" applyFill="1" applyBorder="1" applyAlignment="1" applyProtection="1">
      <alignment vertical="center" wrapText="1"/>
      <protection locked="0"/>
    </xf>
    <xf numFmtId="4" fontId="13" fillId="6" borderId="28" xfId="0" applyNumberFormat="1" applyFont="1" applyFill="1" applyBorder="1" applyAlignment="1" applyProtection="1">
      <alignment horizontal="right" vertical="center" wrapText="1" indent="1"/>
      <protection locked="0"/>
    </xf>
    <xf numFmtId="0" fontId="13" fillId="6" borderId="38" xfId="0" applyFont="1" applyFill="1" applyBorder="1" applyAlignment="1" applyProtection="1">
      <alignment vertical="center" wrapText="1"/>
      <protection locked="0"/>
    </xf>
    <xf numFmtId="0" fontId="13" fillId="6" borderId="29" xfId="0" applyFont="1" applyFill="1" applyBorder="1" applyAlignment="1" applyProtection="1">
      <alignment vertical="center" wrapText="1"/>
      <protection locked="0"/>
    </xf>
    <xf numFmtId="4" fontId="13" fillId="6" borderId="29" xfId="0" applyNumberFormat="1" applyFont="1" applyFill="1" applyBorder="1" applyAlignment="1" applyProtection="1">
      <alignment horizontal="right" vertical="center" wrapText="1" indent="1"/>
      <protection locked="0"/>
    </xf>
    <xf numFmtId="0" fontId="11" fillId="6" borderId="37" xfId="0" applyFont="1" applyFill="1" applyBorder="1" applyAlignment="1" applyProtection="1">
      <alignment horizontal="center" vertical="center" wrapText="1"/>
      <protection locked="0"/>
    </xf>
    <xf numFmtId="43" fontId="7" fillId="6" borderId="26" xfId="2" applyNumberFormat="1" applyFont="1" applyFill="1" applyBorder="1" applyAlignment="1" applyProtection="1">
      <alignment vertical="center" wrapText="1"/>
      <protection locked="0"/>
    </xf>
    <xf numFmtId="4" fontId="7" fillId="6" borderId="39" xfId="0" applyNumberFormat="1" applyFont="1" applyFill="1" applyBorder="1" applyAlignment="1" applyProtection="1">
      <alignment horizontal="right" vertical="center" wrapText="1" indent="1"/>
      <protection locked="0"/>
    </xf>
    <xf numFmtId="0" fontId="11" fillId="6" borderId="27" xfId="0" applyFont="1" applyFill="1" applyBorder="1" applyAlignment="1" applyProtection="1">
      <alignment horizontal="center" vertical="center" wrapText="1"/>
      <protection locked="0"/>
    </xf>
    <xf numFmtId="43" fontId="7" fillId="6" borderId="28" xfId="2" applyNumberFormat="1" applyFont="1" applyFill="1" applyBorder="1" applyAlignment="1" applyProtection="1">
      <alignment vertical="center" wrapText="1"/>
      <protection locked="0"/>
    </xf>
    <xf numFmtId="4" fontId="7" fillId="6" borderId="40" xfId="0" applyNumberFormat="1" applyFont="1" applyFill="1" applyBorder="1" applyAlignment="1" applyProtection="1">
      <alignment horizontal="right" vertical="center" wrapText="1" indent="1"/>
      <protection locked="0"/>
    </xf>
    <xf numFmtId="10" fontId="12" fillId="6" borderId="26" xfId="0" applyNumberFormat="1" applyFont="1" applyFill="1" applyBorder="1" applyAlignment="1" applyProtection="1">
      <alignment horizontal="center" vertical="center" wrapText="1"/>
      <protection locked="0"/>
    </xf>
    <xf numFmtId="4" fontId="12" fillId="6" borderId="26" xfId="0" applyNumberFormat="1" applyFont="1" applyFill="1" applyBorder="1" applyAlignment="1" applyProtection="1">
      <alignment horizontal="right" vertical="center" wrapText="1" indent="1"/>
      <protection locked="0"/>
    </xf>
    <xf numFmtId="10" fontId="12" fillId="6" borderId="28" xfId="0" applyNumberFormat="1" applyFont="1" applyFill="1" applyBorder="1" applyAlignment="1" applyProtection="1">
      <alignment horizontal="center" vertical="center" wrapText="1"/>
      <protection locked="0"/>
    </xf>
    <xf numFmtId="4" fontId="12" fillId="6" borderId="28" xfId="0" applyNumberFormat="1" applyFont="1" applyFill="1" applyBorder="1" applyAlignment="1" applyProtection="1">
      <alignment horizontal="right" vertical="center" wrapText="1" indent="1"/>
      <protection locked="0"/>
    </xf>
    <xf numFmtId="0" fontId="11" fillId="0" borderId="37" xfId="0" applyFont="1" applyBorder="1" applyAlignment="1">
      <alignment vertical="center" wrapText="1"/>
    </xf>
    <xf numFmtId="49" fontId="11" fillId="6" borderId="26" xfId="0" applyNumberFormat="1" applyFont="1" applyFill="1" applyBorder="1" applyAlignment="1" applyProtection="1">
      <alignment horizontal="center" vertical="center" wrapText="1"/>
      <protection locked="0"/>
    </xf>
    <xf numFmtId="4" fontId="11" fillId="9" borderId="26" xfId="0" applyNumberFormat="1" applyFont="1" applyFill="1" applyBorder="1" applyAlignment="1">
      <alignment horizontal="center" vertical="center" wrapText="1"/>
    </xf>
    <xf numFmtId="0" fontId="11" fillId="0" borderId="27" xfId="0" applyFont="1" applyBorder="1" applyAlignment="1">
      <alignment vertical="center" wrapText="1"/>
    </xf>
    <xf numFmtId="49" fontId="11" fillId="6" borderId="28" xfId="0" applyNumberFormat="1" applyFont="1" applyFill="1" applyBorder="1" applyAlignment="1" applyProtection="1">
      <alignment horizontal="center" vertical="center"/>
      <protection locked="0"/>
    </xf>
    <xf numFmtId="4" fontId="11" fillId="9" borderId="28" xfId="0" applyNumberFormat="1" applyFont="1" applyFill="1" applyBorder="1" applyAlignment="1">
      <alignment horizontal="center" vertical="center" wrapText="1"/>
    </xf>
    <xf numFmtId="0" fontId="25" fillId="6" borderId="27" xfId="0" applyFont="1" applyFill="1" applyBorder="1" applyAlignment="1" applyProtection="1">
      <alignment vertical="center" wrapText="1"/>
      <protection locked="0"/>
    </xf>
    <xf numFmtId="0" fontId="25" fillId="0" borderId="28" xfId="0" applyFont="1" applyBorder="1" applyAlignment="1">
      <alignment horizontal="center" vertical="center" wrapText="1"/>
    </xf>
    <xf numFmtId="0" fontId="11" fillId="6" borderId="28" xfId="0" applyFont="1" applyFill="1" applyBorder="1" applyAlignment="1" applyProtection="1">
      <alignment horizontal="center" vertical="center" wrapText="1"/>
      <protection locked="0"/>
    </xf>
    <xf numFmtId="4" fontId="11" fillId="6" borderId="28" xfId="0" applyNumberFormat="1" applyFont="1" applyFill="1" applyBorder="1" applyAlignment="1" applyProtection="1">
      <alignment horizontal="center" vertical="center" wrapText="1"/>
      <protection locked="0"/>
    </xf>
    <xf numFmtId="0" fontId="11" fillId="6" borderId="27" xfId="0" applyFont="1" applyFill="1" applyBorder="1" applyAlignment="1" applyProtection="1">
      <alignment vertical="center" wrapText="1"/>
      <protection locked="0"/>
    </xf>
    <xf numFmtId="0" fontId="11" fillId="0" borderId="38" xfId="0" applyFont="1" applyBorder="1" applyAlignment="1">
      <alignment vertical="center" wrapText="1"/>
    </xf>
    <xf numFmtId="4" fontId="11" fillId="9" borderId="29" xfId="0" applyNumberFormat="1" applyFont="1" applyFill="1" applyBorder="1" applyAlignment="1">
      <alignment horizontal="center" vertical="center" wrapText="1"/>
    </xf>
    <xf numFmtId="0" fontId="16" fillId="0" borderId="26" xfId="0" applyFont="1" applyBorder="1" applyAlignment="1">
      <alignment vertical="center" wrapText="1"/>
    </xf>
    <xf numFmtId="0" fontId="16" fillId="6" borderId="26" xfId="0" applyFont="1" applyFill="1" applyBorder="1" applyAlignment="1" applyProtection="1">
      <alignment horizontal="center" vertical="center"/>
      <protection locked="0"/>
    </xf>
    <xf numFmtId="0" fontId="16" fillId="0" borderId="28" xfId="0" applyFont="1" applyBorder="1" applyAlignment="1">
      <alignment vertical="center" wrapText="1"/>
    </xf>
    <xf numFmtId="0" fontId="16" fillId="6" borderId="28" xfId="0" applyFont="1" applyFill="1" applyBorder="1" applyAlignment="1" applyProtection="1">
      <alignment horizontal="center" vertical="center"/>
      <protection locked="0"/>
    </xf>
    <xf numFmtId="0" fontId="11" fillId="6" borderId="38" xfId="0" applyFont="1" applyFill="1" applyBorder="1" applyAlignment="1" applyProtection="1">
      <alignment vertical="center" wrapText="1"/>
      <protection locked="0"/>
    </xf>
    <xf numFmtId="0" fontId="16" fillId="0" borderId="29" xfId="0" applyFont="1" applyBorder="1" applyAlignment="1">
      <alignment vertical="center" wrapText="1"/>
    </xf>
    <xf numFmtId="0" fontId="16" fillId="6" borderId="29" xfId="0" applyFont="1" applyFill="1" applyBorder="1" applyAlignment="1" applyProtection="1">
      <alignment horizontal="center" vertical="center"/>
      <protection locked="0"/>
    </xf>
    <xf numFmtId="4" fontId="11" fillId="6" borderId="29" xfId="0" applyNumberFormat="1" applyFont="1" applyFill="1" applyBorder="1" applyAlignment="1" applyProtection="1">
      <alignment horizontal="center" vertical="center" wrapText="1"/>
      <protection locked="0"/>
    </xf>
    <xf numFmtId="0" fontId="0" fillId="6" borderId="37" xfId="0" applyFill="1" applyBorder="1" applyProtection="1">
      <protection locked="0"/>
    </xf>
    <xf numFmtId="0" fontId="16" fillId="6" borderId="26" xfId="0" applyNumberFormat="1" applyFont="1" applyFill="1" applyBorder="1" applyAlignment="1" applyProtection="1">
      <alignment horizontal="center" vertical="center" wrapText="1"/>
      <protection locked="0"/>
    </xf>
    <xf numFmtId="4" fontId="11" fillId="6" borderId="26" xfId="0" applyNumberFormat="1" applyFont="1" applyFill="1" applyBorder="1" applyAlignment="1" applyProtection="1">
      <alignment horizontal="center" vertical="center" wrapText="1"/>
      <protection locked="0"/>
    </xf>
    <xf numFmtId="0" fontId="11" fillId="6" borderId="29" xfId="0" applyFont="1" applyFill="1" applyBorder="1" applyAlignment="1" applyProtection="1">
      <alignment horizontal="center" vertical="center" wrapText="1"/>
      <protection locked="0"/>
    </xf>
    <xf numFmtId="0" fontId="11" fillId="6" borderId="37" xfId="0" applyFont="1" applyFill="1" applyBorder="1" applyAlignment="1" applyProtection="1">
      <alignment vertical="center" wrapText="1"/>
      <protection locked="0"/>
    </xf>
    <xf numFmtId="0" fontId="16" fillId="6" borderId="29" xfId="0" applyFont="1" applyFill="1" applyBorder="1" applyAlignment="1" applyProtection="1">
      <alignment horizontal="center" vertical="center" wrapText="1"/>
      <protection locked="0"/>
    </xf>
    <xf numFmtId="0" fontId="11" fillId="6" borderId="26" xfId="0" applyFont="1" applyFill="1" applyBorder="1" applyAlignment="1" applyProtection="1">
      <alignment horizontal="center" vertical="center" wrapText="1"/>
      <protection locked="0"/>
    </xf>
    <xf numFmtId="49" fontId="11" fillId="6" borderId="26" xfId="0" applyNumberFormat="1" applyFont="1" applyFill="1" applyBorder="1" applyAlignment="1" applyProtection="1">
      <alignment horizontal="center" vertical="center"/>
      <protection locked="0"/>
    </xf>
    <xf numFmtId="49" fontId="11" fillId="8" borderId="29" xfId="0" applyNumberFormat="1" applyFont="1" applyFill="1" applyBorder="1" applyAlignment="1">
      <alignment horizontal="center" vertical="center"/>
    </xf>
    <xf numFmtId="0" fontId="16" fillId="0" borderId="26" xfId="0" applyFont="1" applyBorder="1" applyAlignment="1">
      <alignment horizontal="center" vertical="center" wrapText="1"/>
    </xf>
    <xf numFmtId="43" fontId="11" fillId="6" borderId="26" xfId="2" applyFont="1" applyFill="1" applyBorder="1" applyAlignment="1" applyProtection="1">
      <alignment horizontal="center" vertical="center" wrapText="1"/>
      <protection locked="0"/>
    </xf>
    <xf numFmtId="0" fontId="16" fillId="0" borderId="28" xfId="0" applyFont="1" applyBorder="1" applyAlignment="1">
      <alignment horizontal="center" vertical="center" wrapText="1"/>
    </xf>
    <xf numFmtId="43" fontId="11" fillId="6" borderId="28" xfId="2" applyFont="1" applyFill="1" applyBorder="1" applyAlignment="1" applyProtection="1">
      <alignment horizontal="center" vertical="center" wrapText="1"/>
      <protection locked="0"/>
    </xf>
    <xf numFmtId="0" fontId="0" fillId="6" borderId="27" xfId="0" applyFill="1" applyBorder="1" applyProtection="1">
      <protection locked="0"/>
    </xf>
    <xf numFmtId="0" fontId="16" fillId="6" borderId="28" xfId="0" applyFont="1" applyFill="1" applyBorder="1" applyAlignment="1" applyProtection="1">
      <alignment horizontal="center" vertical="center" wrapText="1"/>
      <protection locked="0"/>
    </xf>
    <xf numFmtId="0" fontId="16" fillId="0" borderId="29" xfId="0" applyFont="1" applyBorder="1" applyAlignment="1">
      <alignment horizontal="center" vertical="center" wrapText="1"/>
    </xf>
    <xf numFmtId="4" fontId="11" fillId="8" borderId="29" xfId="0" applyNumberFormat="1" applyFont="1" applyFill="1" applyBorder="1" applyAlignment="1">
      <alignment vertical="center" wrapText="1"/>
    </xf>
    <xf numFmtId="0" fontId="11" fillId="0" borderId="29" xfId="0" applyFont="1" applyFill="1" applyBorder="1" applyAlignment="1">
      <alignment horizontal="center" vertical="center" wrapText="1"/>
    </xf>
    <xf numFmtId="4" fontId="11" fillId="8" borderId="29" xfId="0" applyNumberFormat="1" applyFont="1" applyFill="1" applyBorder="1" applyAlignment="1">
      <alignment horizontal="center" vertical="center" wrapText="1"/>
    </xf>
    <xf numFmtId="0" fontId="11" fillId="0" borderId="29" xfId="0" applyFont="1" applyBorder="1" applyAlignment="1">
      <alignment horizontal="right" vertical="center" wrapText="1"/>
    </xf>
    <xf numFmtId="0" fontId="45" fillId="6" borderId="38" xfId="0" applyFont="1" applyFill="1" applyBorder="1" applyAlignment="1" applyProtection="1">
      <alignment vertical="center" wrapText="1"/>
      <protection locked="0"/>
    </xf>
    <xf numFmtId="0" fontId="17" fillId="0" borderId="27" xfId="0" applyFont="1" applyBorder="1" applyAlignment="1">
      <alignment vertical="center" wrapText="1"/>
    </xf>
    <xf numFmtId="0" fontId="11" fillId="0" borderId="29" xfId="0" applyFont="1" applyFill="1" applyBorder="1" applyAlignment="1" applyProtection="1">
      <alignment horizontal="center" vertical="center" wrapText="1"/>
    </xf>
    <xf numFmtId="0" fontId="12" fillId="6" borderId="28" xfId="0" applyFont="1" applyFill="1" applyBorder="1" applyAlignment="1" applyProtection="1">
      <alignment horizontal="center" vertical="center" wrapText="1"/>
      <protection locked="0"/>
    </xf>
    <xf numFmtId="4" fontId="12" fillId="9" borderId="28" xfId="0" applyNumberFormat="1" applyFont="1" applyFill="1" applyBorder="1" applyAlignment="1">
      <alignment horizontal="center" vertical="center" wrapText="1"/>
    </xf>
    <xf numFmtId="2" fontId="12" fillId="9" borderId="28" xfId="0" applyNumberFormat="1" applyFont="1" applyFill="1" applyBorder="1" applyAlignment="1">
      <alignment horizontal="center" vertical="center" wrapText="1"/>
    </xf>
    <xf numFmtId="0" fontId="12" fillId="1" borderId="28" xfId="0" applyFont="1" applyFill="1" applyBorder="1" applyAlignment="1">
      <alignment horizontal="center" vertical="center" wrapText="1"/>
    </xf>
    <xf numFmtId="4" fontId="12" fillId="6" borderId="28" xfId="0" applyNumberFormat="1" applyFont="1" applyFill="1" applyBorder="1" applyAlignment="1" applyProtection="1">
      <alignment horizontal="center" vertical="center" wrapText="1"/>
      <protection locked="0"/>
    </xf>
    <xf numFmtId="0" fontId="27" fillId="0" borderId="28" xfId="0" applyFont="1" applyBorder="1" applyAlignment="1">
      <alignment horizontal="center" vertical="center" wrapText="1"/>
    </xf>
    <xf numFmtId="4" fontId="12" fillId="0" borderId="28" xfId="0" applyNumberFormat="1" applyFont="1" applyFill="1" applyBorder="1" applyAlignment="1">
      <alignment horizontal="center" vertical="center" wrapText="1"/>
    </xf>
    <xf numFmtId="0" fontId="9" fillId="0" borderId="10" xfId="0" applyFont="1" applyBorder="1" applyAlignment="1">
      <alignment horizontal="center" vertical="center"/>
    </xf>
    <xf numFmtId="43" fontId="9" fillId="10" borderId="11" xfId="2" applyFont="1" applyFill="1" applyBorder="1" applyAlignment="1" applyProtection="1">
      <alignment horizontal="right" vertical="center" indent="1"/>
      <protection locked="0"/>
    </xf>
    <xf numFmtId="0" fontId="11" fillId="2" borderId="41" xfId="0" applyFont="1" applyFill="1" applyBorder="1"/>
    <xf numFmtId="0" fontId="11" fillId="2" borderId="42" xfId="0" applyFont="1" applyFill="1" applyBorder="1" applyAlignment="1">
      <alignment horizontal="center"/>
    </xf>
    <xf numFmtId="0" fontId="11" fillId="2" borderId="42" xfId="0" applyFont="1" applyFill="1" applyBorder="1"/>
    <xf numFmtId="0" fontId="0" fillId="2" borderId="42" xfId="0" applyFill="1" applyBorder="1"/>
    <xf numFmtId="0" fontId="0" fillId="2" borderId="43" xfId="0" applyFill="1" applyBorder="1"/>
    <xf numFmtId="0" fontId="10" fillId="2" borderId="44" xfId="0" applyFont="1" applyFill="1" applyBorder="1" applyAlignment="1">
      <alignment horizontal="center" vertical="top" wrapText="1"/>
    </xf>
    <xf numFmtId="0" fontId="10" fillId="2" borderId="45" xfId="0" applyFont="1" applyFill="1" applyBorder="1" applyAlignment="1">
      <alignment horizontal="center" vertical="top" wrapText="1"/>
    </xf>
    <xf numFmtId="0" fontId="0" fillId="2" borderId="20" xfId="0" applyFill="1" applyBorder="1"/>
    <xf numFmtId="0" fontId="0" fillId="2" borderId="21" xfId="0" applyFill="1" applyBorder="1"/>
    <xf numFmtId="0" fontId="47" fillId="2" borderId="21" xfId="0" applyFont="1" applyFill="1" applyBorder="1"/>
    <xf numFmtId="0" fontId="0" fillId="2" borderId="13" xfId="0" applyFill="1" applyBorder="1"/>
    <xf numFmtId="0" fontId="32" fillId="2" borderId="46" xfId="0" applyFont="1" applyFill="1" applyBorder="1" applyAlignment="1">
      <alignment horizontal="center" vertical="top" wrapText="1"/>
    </xf>
    <xf numFmtId="0" fontId="12" fillId="0" borderId="47" xfId="0" applyFont="1" applyBorder="1" applyAlignment="1">
      <alignment vertical="center" wrapText="1"/>
    </xf>
    <xf numFmtId="0" fontId="12" fillId="0" borderId="48" xfId="0" applyFont="1" applyBorder="1" applyAlignment="1">
      <alignment horizontal="center" vertical="center" wrapText="1"/>
    </xf>
    <xf numFmtId="0" fontId="12" fillId="6" borderId="48" xfId="0" applyFont="1" applyFill="1" applyBorder="1" applyAlignment="1" applyProtection="1">
      <alignment horizontal="center" vertical="center" wrapText="1"/>
      <protection locked="0"/>
    </xf>
    <xf numFmtId="0" fontId="11" fillId="0" borderId="48" xfId="0" applyFont="1" applyBorder="1" applyAlignment="1">
      <alignment horizontal="center" vertical="center" wrapText="1"/>
    </xf>
    <xf numFmtId="4" fontId="12" fillId="9" borderId="48" xfId="0" applyNumberFormat="1" applyFont="1" applyFill="1" applyBorder="1" applyAlignment="1">
      <alignment horizontal="center" vertical="center" wrapText="1"/>
    </xf>
    <xf numFmtId="3" fontId="12" fillId="9" borderId="49" xfId="0" applyNumberFormat="1" applyFont="1" applyFill="1" applyBorder="1" applyAlignment="1">
      <alignment horizontal="right" vertical="center" wrapText="1" indent="1"/>
    </xf>
    <xf numFmtId="0" fontId="12" fillId="0" borderId="35" xfId="0" applyFont="1" applyBorder="1" applyAlignment="1">
      <alignment vertical="center" wrapText="1"/>
    </xf>
    <xf numFmtId="3" fontId="12" fillId="9" borderId="32" xfId="0" applyNumberFormat="1" applyFont="1" applyFill="1" applyBorder="1" applyAlignment="1">
      <alignment horizontal="right" vertical="center" wrapText="1" indent="1"/>
    </xf>
    <xf numFmtId="0" fontId="12" fillId="6" borderId="50" xfId="0" applyFont="1" applyFill="1" applyBorder="1" applyAlignment="1" applyProtection="1">
      <alignment vertical="center" wrapText="1"/>
      <protection locked="0"/>
    </xf>
    <xf numFmtId="0" fontId="12" fillId="1" borderId="30" xfId="0" applyFont="1" applyFill="1" applyBorder="1" applyAlignment="1">
      <alignment horizontal="center" vertical="center" wrapText="1"/>
    </xf>
    <xf numFmtId="0" fontId="12" fillId="6" borderId="30" xfId="0" applyFont="1" applyFill="1" applyBorder="1" applyAlignment="1" applyProtection="1">
      <alignment horizontal="center" vertical="center" wrapText="1"/>
      <protection locked="0"/>
    </xf>
    <xf numFmtId="0" fontId="11" fillId="0" borderId="30" xfId="0" applyFont="1" applyBorder="1" applyAlignment="1">
      <alignment horizontal="center" vertical="center" wrapText="1"/>
    </xf>
    <xf numFmtId="4" fontId="12" fillId="6" borderId="30" xfId="0" applyNumberFormat="1" applyFont="1" applyFill="1" applyBorder="1" applyAlignment="1" applyProtection="1">
      <alignment horizontal="center" vertical="center" wrapText="1"/>
      <protection locked="0"/>
    </xf>
    <xf numFmtId="3" fontId="12" fillId="9" borderId="51" xfId="0" applyNumberFormat="1" applyFont="1" applyFill="1" applyBorder="1" applyAlignment="1">
      <alignment horizontal="right" vertical="center" wrapText="1" indent="1"/>
    </xf>
    <xf numFmtId="0" fontId="12" fillId="6" borderId="35" xfId="0" applyFont="1" applyFill="1" applyBorder="1" applyAlignment="1" applyProtection="1">
      <alignment vertical="center" wrapText="1"/>
      <protection locked="0"/>
    </xf>
    <xf numFmtId="0" fontId="44" fillId="0" borderId="50" xfId="0" applyFont="1" applyFill="1" applyBorder="1" applyAlignment="1">
      <alignment vertical="center" wrapText="1"/>
    </xf>
    <xf numFmtId="0" fontId="12" fillId="0" borderId="30" xfId="0" applyFont="1" applyBorder="1" applyAlignment="1">
      <alignment horizontal="center" vertical="center" wrapText="1"/>
    </xf>
    <xf numFmtId="0" fontId="12" fillId="8" borderId="30" xfId="0" quotePrefix="1" applyFont="1" applyFill="1" applyBorder="1" applyAlignment="1">
      <alignment vertical="center" wrapText="1"/>
    </xf>
    <xf numFmtId="0" fontId="12" fillId="11" borderId="30" xfId="0" quotePrefix="1" applyFont="1" applyFill="1" applyBorder="1" applyAlignment="1">
      <alignment horizontal="right" vertical="center" wrapText="1"/>
    </xf>
    <xf numFmtId="2" fontId="12" fillId="9" borderId="48" xfId="0" applyNumberFormat="1" applyFont="1" applyFill="1" applyBorder="1" applyAlignment="1">
      <alignment horizontal="center" vertical="center" wrapText="1"/>
    </xf>
    <xf numFmtId="0" fontId="17" fillId="0" borderId="48" xfId="0" applyFont="1" applyBorder="1" applyAlignment="1">
      <alignment horizontal="center" vertical="center" wrapText="1"/>
    </xf>
    <xf numFmtId="0" fontId="12" fillId="0" borderId="35" xfId="0" applyFont="1" applyBorder="1" applyAlignment="1">
      <alignment horizontal="left" vertical="center" wrapText="1"/>
    </xf>
    <xf numFmtId="0" fontId="12" fillId="0" borderId="50" xfId="0" applyFont="1" applyBorder="1" applyAlignment="1">
      <alignment horizontal="left" vertical="center" wrapText="1"/>
    </xf>
    <xf numFmtId="0" fontId="27" fillId="0" borderId="30" xfId="0" applyFont="1" applyBorder="1" applyAlignment="1">
      <alignment horizontal="center" vertical="center" wrapText="1"/>
    </xf>
    <xf numFmtId="4" fontId="12" fillId="0" borderId="30" xfId="0" applyNumberFormat="1" applyFont="1" applyFill="1" applyBorder="1" applyAlignment="1">
      <alignment horizontal="center" vertical="center" wrapText="1"/>
    </xf>
    <xf numFmtId="3" fontId="12" fillId="0" borderId="32" xfId="0" applyNumberFormat="1" applyFont="1" applyFill="1" applyBorder="1" applyAlignment="1">
      <alignment horizontal="right" vertical="center" wrapText="1" indent="1"/>
    </xf>
    <xf numFmtId="4" fontId="12" fillId="6" borderId="48" xfId="0" applyNumberFormat="1" applyFont="1" applyFill="1" applyBorder="1" applyAlignment="1" applyProtection="1">
      <alignment horizontal="center" vertical="center" wrapText="1"/>
      <protection locked="0"/>
    </xf>
    <xf numFmtId="3" fontId="12" fillId="0" borderId="49" xfId="0" applyNumberFormat="1" applyFont="1" applyFill="1" applyBorder="1" applyAlignment="1">
      <alignment horizontal="right" vertical="center" wrapText="1" indent="1"/>
    </xf>
    <xf numFmtId="4" fontId="12" fillId="6" borderId="30" xfId="0" applyNumberFormat="1" applyFont="1" applyFill="1" applyBorder="1" applyAlignment="1" applyProtection="1">
      <alignment vertical="center" wrapText="1"/>
      <protection locked="0"/>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2" xfId="0" applyFont="1" applyFill="1" applyBorder="1" applyAlignment="1">
      <alignment horizontal="center" vertical="center" wrapText="1"/>
    </xf>
    <xf numFmtId="0" fontId="17"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1" fillId="0" borderId="52" xfId="0" applyFont="1" applyBorder="1" applyAlignment="1">
      <alignment horizontal="center" vertical="center" wrapText="1"/>
    </xf>
    <xf numFmtId="0" fontId="12" fillId="0" borderId="52" xfId="0" applyFont="1" applyBorder="1" applyAlignment="1">
      <alignment horizontal="center" vertical="center" wrapText="1"/>
    </xf>
    <xf numFmtId="0" fontId="11" fillId="0" borderId="28" xfId="0" applyFont="1" applyBorder="1" applyAlignment="1">
      <alignment vertical="center"/>
    </xf>
    <xf numFmtId="0" fontId="11" fillId="0" borderId="40" xfId="0" applyFont="1" applyFill="1" applyBorder="1" applyAlignment="1">
      <alignment vertical="center" wrapText="1"/>
    </xf>
    <xf numFmtId="0" fontId="2" fillId="2" borderId="37" xfId="0" applyFont="1" applyFill="1" applyBorder="1" applyAlignment="1">
      <alignment vertical="center" wrapText="1"/>
    </xf>
    <xf numFmtId="184" fontId="13" fillId="2" borderId="26" xfId="0" applyNumberFormat="1" applyFont="1" applyFill="1" applyBorder="1" applyAlignment="1">
      <alignment horizontal="center" vertical="center" wrapText="1"/>
    </xf>
    <xf numFmtId="0" fontId="7" fillId="2" borderId="39" xfId="0" applyFont="1" applyFill="1" applyBorder="1" applyAlignment="1">
      <alignment horizontal="center" vertical="center" wrapText="1"/>
    </xf>
    <xf numFmtId="0" fontId="2" fillId="2" borderId="27" xfId="0" applyFont="1" applyFill="1" applyBorder="1" applyAlignment="1">
      <alignment vertical="center" wrapText="1"/>
    </xf>
    <xf numFmtId="184" fontId="13" fillId="2" borderId="28" xfId="0" applyNumberFormat="1"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2" borderId="27" xfId="0" applyFont="1" applyFill="1" applyBorder="1" applyAlignment="1">
      <alignment vertical="center" wrapText="1"/>
    </xf>
    <xf numFmtId="14" fontId="7" fillId="2" borderId="28" xfId="0" applyNumberFormat="1" applyFont="1" applyFill="1" applyBorder="1" applyAlignment="1">
      <alignment horizontal="center" vertical="center" wrapText="1"/>
    </xf>
    <xf numFmtId="0" fontId="13" fillId="2" borderId="28"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53" xfId="0" applyFont="1" applyFill="1" applyBorder="1" applyAlignment="1">
      <alignment vertical="center" wrapText="1"/>
    </xf>
    <xf numFmtId="184" fontId="13" fillId="2" borderId="53" xfId="0" applyNumberFormat="1" applyFont="1" applyFill="1" applyBorder="1" applyAlignment="1">
      <alignment horizontal="center" vertical="center" wrapText="1"/>
    </xf>
    <xf numFmtId="0" fontId="7" fillId="2" borderId="54" xfId="0" applyFont="1" applyFill="1" applyBorder="1" applyAlignment="1">
      <alignment horizontal="center" vertical="center" wrapText="1"/>
    </xf>
    <xf numFmtId="184" fontId="13" fillId="2" borderId="39" xfId="0" applyNumberFormat="1" applyFont="1" applyFill="1" applyBorder="1" applyAlignment="1">
      <alignment horizontal="center" vertical="center" wrapText="1"/>
    </xf>
    <xf numFmtId="184" fontId="13" fillId="2" borderId="40" xfId="0" applyNumberFormat="1" applyFont="1" applyFill="1" applyBorder="1" applyAlignment="1">
      <alignment horizontal="center" vertical="center" wrapText="1"/>
    </xf>
    <xf numFmtId="0" fontId="7" fillId="2" borderId="27" xfId="0"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7" fillId="2" borderId="38" xfId="0" applyFont="1" applyFill="1" applyBorder="1" applyAlignment="1">
      <alignment horizontal="center" vertical="center" wrapText="1"/>
    </xf>
    <xf numFmtId="2" fontId="13" fillId="2" borderId="54" xfId="0" applyNumberFormat="1" applyFont="1" applyFill="1" applyBorder="1" applyAlignment="1">
      <alignment horizontal="center" vertical="center" wrapText="1"/>
    </xf>
    <xf numFmtId="0" fontId="13" fillId="2" borderId="26" xfId="0" applyFont="1" applyFill="1" applyBorder="1" applyAlignment="1">
      <alignment vertical="center" wrapText="1"/>
    </xf>
    <xf numFmtId="0" fontId="13" fillId="2" borderId="28" xfId="0" applyFont="1" applyFill="1" applyBorder="1" applyAlignment="1">
      <alignment vertical="center" wrapText="1"/>
    </xf>
    <xf numFmtId="0" fontId="12" fillId="2" borderId="27" xfId="0" applyFont="1" applyFill="1" applyBorder="1" applyAlignment="1">
      <alignment vertical="center" wrapText="1"/>
    </xf>
    <xf numFmtId="0" fontId="13" fillId="2" borderId="29" xfId="0" applyFont="1" applyFill="1" applyBorder="1" applyAlignment="1">
      <alignment vertical="center" wrapText="1"/>
    </xf>
    <xf numFmtId="184" fontId="13" fillId="2" borderId="54" xfId="0" applyNumberFormat="1" applyFont="1" applyFill="1" applyBorder="1" applyAlignment="1">
      <alignment horizontal="center" vertical="center" wrapText="1"/>
    </xf>
    <xf numFmtId="0" fontId="13" fillId="2" borderId="27" xfId="0" applyFont="1" applyFill="1" applyBorder="1" applyAlignment="1">
      <alignment vertical="center" wrapText="1"/>
    </xf>
    <xf numFmtId="183" fontId="11" fillId="9" borderId="39" xfId="2" applyNumberFormat="1" applyFont="1" applyFill="1" applyBorder="1" applyAlignment="1">
      <alignment horizontal="right" vertical="center" wrapText="1" indent="1"/>
    </xf>
    <xf numFmtId="183" fontId="11" fillId="9" borderId="40" xfId="2" applyNumberFormat="1" applyFont="1" applyFill="1" applyBorder="1" applyAlignment="1">
      <alignment horizontal="right" vertical="center" wrapText="1" indent="1"/>
    </xf>
    <xf numFmtId="183" fontId="10" fillId="2" borderId="12" xfId="2" applyNumberFormat="1" applyFont="1" applyFill="1" applyBorder="1" applyAlignment="1">
      <alignment horizontal="right" vertical="center" wrapText="1" indent="1"/>
    </xf>
    <xf numFmtId="183" fontId="9" fillId="5" borderId="24" xfId="2" applyNumberFormat="1" applyFont="1" applyFill="1" applyBorder="1" applyAlignment="1">
      <alignment vertical="center" wrapText="1"/>
    </xf>
    <xf numFmtId="183" fontId="9" fillId="2" borderId="24" xfId="2" applyNumberFormat="1" applyFont="1" applyFill="1" applyBorder="1" applyAlignment="1">
      <alignment vertical="center" wrapText="1"/>
    </xf>
    <xf numFmtId="183" fontId="10" fillId="2" borderId="9" xfId="2" applyNumberFormat="1" applyFont="1" applyFill="1" applyBorder="1" applyAlignment="1">
      <alignment vertical="center" wrapText="1"/>
    </xf>
    <xf numFmtId="183" fontId="10" fillId="2" borderId="12" xfId="2" applyNumberFormat="1" applyFont="1" applyFill="1" applyBorder="1" applyAlignment="1">
      <alignment vertical="center" wrapText="1"/>
    </xf>
    <xf numFmtId="3" fontId="21" fillId="2" borderId="11" xfId="2" applyNumberFormat="1" applyFont="1" applyFill="1" applyBorder="1" applyAlignment="1">
      <alignment horizontal="center" vertical="center" wrapText="1"/>
    </xf>
    <xf numFmtId="3" fontId="4" fillId="0" borderId="0" xfId="2" applyNumberFormat="1" applyFont="1" applyBorder="1" applyAlignment="1">
      <alignment horizontal="center"/>
    </xf>
    <xf numFmtId="3" fontId="53" fillId="2" borderId="11" xfId="2" applyNumberFormat="1" applyFont="1" applyFill="1" applyBorder="1" applyAlignment="1">
      <alignment horizontal="center"/>
    </xf>
    <xf numFmtId="3" fontId="4" fillId="2" borderId="11" xfId="2" applyNumberFormat="1" applyFont="1" applyFill="1" applyBorder="1" applyAlignment="1">
      <alignment horizontal="center"/>
    </xf>
    <xf numFmtId="3" fontId="4" fillId="12" borderId="11" xfId="2" applyNumberFormat="1" applyFont="1" applyFill="1" applyBorder="1" applyAlignment="1">
      <alignment horizontal="center"/>
    </xf>
    <xf numFmtId="221" fontId="10" fillId="6" borderId="11" xfId="2" applyNumberFormat="1" applyFont="1" applyFill="1" applyBorder="1" applyAlignment="1" applyProtection="1">
      <alignment horizontal="left" vertical="center" wrapText="1" indent="1"/>
    </xf>
    <xf numFmtId="0" fontId="12" fillId="2" borderId="0"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0" fillId="2" borderId="12" xfId="0" applyFont="1" applyFill="1" applyBorder="1" applyAlignment="1">
      <alignment vertical="center" wrapText="1"/>
    </xf>
    <xf numFmtId="0" fontId="25" fillId="0" borderId="55" xfId="0" applyNumberFormat="1" applyFont="1" applyFill="1" applyBorder="1" applyAlignment="1" applyProtection="1">
      <alignment vertical="center" wrapText="1"/>
      <protection hidden="1"/>
    </xf>
    <xf numFmtId="0" fontId="17" fillId="2" borderId="5" xfId="0" applyFont="1" applyFill="1" applyBorder="1" applyAlignment="1">
      <alignment horizontal="center" vertical="top" wrapText="1"/>
    </xf>
    <xf numFmtId="0" fontId="47" fillId="0" borderId="0" xfId="0" applyFont="1" applyAlignment="1">
      <alignment horizontal="center"/>
    </xf>
    <xf numFmtId="0" fontId="9" fillId="3" borderId="11" xfId="0" applyFont="1" applyFill="1" applyBorder="1" applyAlignment="1" applyProtection="1">
      <alignment horizontal="center"/>
      <protection locked="0"/>
    </xf>
    <xf numFmtId="189" fontId="9" fillId="3" borderId="11" xfId="2" applyNumberFormat="1" applyFont="1" applyFill="1" applyBorder="1" applyAlignment="1" applyProtection="1">
      <alignment horizontal="center"/>
      <protection locked="0"/>
    </xf>
    <xf numFmtId="0" fontId="21" fillId="0" borderId="40" xfId="0" applyNumberFormat="1" applyFont="1" applyFill="1" applyBorder="1" applyAlignment="1">
      <alignment horizontal="right" vertical="center" wrapText="1" indent="1"/>
    </xf>
    <xf numFmtId="3" fontId="21" fillId="2" borderId="12" xfId="0" applyNumberFormat="1" applyFont="1" applyFill="1" applyBorder="1" applyAlignment="1">
      <alignment horizontal="right" vertical="center" wrapText="1" indent="1"/>
    </xf>
    <xf numFmtId="2" fontId="0" fillId="0" borderId="0" xfId="0" applyNumberFormat="1" applyAlignment="1">
      <alignment horizontal="left"/>
    </xf>
    <xf numFmtId="2" fontId="11" fillId="0" borderId="0" xfId="0" applyNumberFormat="1" applyFont="1" applyBorder="1" applyAlignment="1">
      <alignment horizontal="left"/>
    </xf>
    <xf numFmtId="2" fontId="0" fillId="0" borderId="0" xfId="0" applyNumberFormat="1" applyBorder="1"/>
    <xf numFmtId="43" fontId="7" fillId="0" borderId="0" xfId="2" applyFont="1" applyBorder="1" applyAlignment="1">
      <alignment horizontal="right"/>
    </xf>
    <xf numFmtId="43" fontId="10" fillId="0" borderId="56" xfId="2" applyFont="1" applyFill="1" applyBorder="1" applyAlignment="1" applyProtection="1">
      <alignment horizontal="right" vertical="center" wrapText="1" indent="1"/>
      <protection locked="0"/>
    </xf>
    <xf numFmtId="183" fontId="10" fillId="0" borderId="56" xfId="2" applyNumberFormat="1" applyFont="1" applyFill="1" applyBorder="1" applyAlignment="1" applyProtection="1">
      <alignment horizontal="right" vertical="center" wrapText="1" indent="1"/>
      <protection locked="0"/>
    </xf>
    <xf numFmtId="0" fontId="7" fillId="6" borderId="57" xfId="0" applyFont="1" applyFill="1" applyBorder="1" applyAlignment="1" applyProtection="1">
      <alignment horizontal="center" vertical="center" wrapText="1"/>
      <protection locked="0"/>
    </xf>
    <xf numFmtId="0" fontId="7" fillId="6" borderId="55" xfId="0" applyFont="1" applyFill="1" applyBorder="1" applyAlignment="1" applyProtection="1">
      <alignment horizontal="center" vertical="center" wrapText="1"/>
      <protection locked="0"/>
    </xf>
    <xf numFmtId="3" fontId="7" fillId="2" borderId="58" xfId="0" applyNumberFormat="1" applyFont="1" applyFill="1" applyBorder="1" applyAlignment="1">
      <alignment horizontal="right" vertical="center" wrapText="1" indent="1"/>
    </xf>
    <xf numFmtId="0" fontId="13" fillId="4" borderId="17" xfId="0" applyFont="1" applyFill="1" applyBorder="1" applyAlignment="1">
      <alignment horizontal="center"/>
    </xf>
    <xf numFmtId="14" fontId="13" fillId="4" borderId="2" xfId="0" applyNumberFormat="1" applyFont="1" applyFill="1" applyBorder="1" applyAlignment="1">
      <alignment horizontal="center"/>
    </xf>
    <xf numFmtId="0" fontId="13" fillId="4" borderId="2" xfId="0" applyFont="1" applyFill="1" applyBorder="1" applyAlignment="1">
      <alignment horizontal="center"/>
    </xf>
    <xf numFmtId="14" fontId="13" fillId="0" borderId="17" xfId="0" applyNumberFormat="1" applyFont="1" applyFill="1" applyBorder="1" applyAlignment="1">
      <alignment horizontal="center"/>
    </xf>
    <xf numFmtId="191" fontId="39" fillId="0" borderId="0" xfId="0" applyNumberFormat="1" applyFont="1" applyAlignment="1">
      <alignment horizontal="left"/>
    </xf>
    <xf numFmtId="0" fontId="11" fillId="0" borderId="27" xfId="0" applyFont="1" applyFill="1" applyBorder="1" applyAlignment="1" applyProtection="1">
      <alignment vertical="center" wrapText="1"/>
      <protection locked="0"/>
    </xf>
    <xf numFmtId="0" fontId="11" fillId="0" borderId="28" xfId="0" applyFont="1" applyFill="1" applyBorder="1" applyAlignment="1" applyProtection="1">
      <alignment horizontal="center" vertical="center" wrapText="1"/>
      <protection locked="0"/>
    </xf>
    <xf numFmtId="0" fontId="12" fillId="0" borderId="27" xfId="0" applyFont="1" applyFill="1" applyBorder="1" applyAlignment="1" applyProtection="1">
      <alignment vertical="center" wrapText="1"/>
      <protection locked="0"/>
    </xf>
    <xf numFmtId="3" fontId="12" fillId="6" borderId="59" xfId="2" applyNumberFormat="1" applyFont="1" applyFill="1" applyBorder="1" applyAlignment="1" applyProtection="1">
      <alignment horizontal="center" vertical="center" wrapText="1"/>
      <protection locked="0"/>
    </xf>
    <xf numFmtId="3" fontId="12" fillId="6" borderId="60" xfId="2" applyNumberFormat="1" applyFont="1" applyFill="1" applyBorder="1" applyAlignment="1" applyProtection="1">
      <alignment horizontal="center" vertical="center" wrapText="1"/>
      <protection locked="0"/>
    </xf>
    <xf numFmtId="3" fontId="12" fillId="6" borderId="61" xfId="2" applyNumberFormat="1" applyFont="1" applyFill="1" applyBorder="1" applyAlignment="1" applyProtection="1">
      <alignment horizontal="center" vertical="center" wrapText="1"/>
      <protection locked="0"/>
    </xf>
    <xf numFmtId="3" fontId="12" fillId="6" borderId="11" xfId="2" applyNumberFormat="1" applyFont="1" applyFill="1" applyBorder="1" applyAlignment="1" applyProtection="1">
      <alignment horizontal="center" vertical="center" wrapText="1"/>
      <protection locked="0"/>
    </xf>
    <xf numFmtId="3" fontId="4" fillId="6" borderId="11" xfId="2" applyNumberFormat="1" applyFont="1" applyFill="1" applyBorder="1" applyAlignment="1">
      <alignment horizontal="center"/>
    </xf>
    <xf numFmtId="0" fontId="12" fillId="6" borderId="47" xfId="0" applyFont="1" applyFill="1" applyBorder="1" applyAlignment="1" applyProtection="1">
      <alignment horizontal="center" vertical="center" wrapText="1"/>
      <protection locked="0"/>
    </xf>
    <xf numFmtId="0" fontId="12" fillId="6" borderId="35" xfId="0" applyFont="1" applyFill="1" applyBorder="1" applyAlignment="1" applyProtection="1">
      <alignment horizontal="center" vertical="center" wrapText="1"/>
      <protection locked="0"/>
    </xf>
    <xf numFmtId="0" fontId="12" fillId="6" borderId="50" xfId="0" applyFont="1" applyFill="1" applyBorder="1" applyAlignment="1" applyProtection="1">
      <alignment horizontal="center" vertical="center" wrapText="1"/>
      <protection locked="0"/>
    </xf>
    <xf numFmtId="2" fontId="12" fillId="6" borderId="30" xfId="0" applyNumberFormat="1" applyFont="1" applyFill="1" applyBorder="1" applyAlignment="1" applyProtection="1">
      <alignment horizontal="center" vertical="center" wrapText="1"/>
      <protection locked="0"/>
    </xf>
    <xf numFmtId="3" fontId="21" fillId="6" borderId="51" xfId="0" applyNumberFormat="1" applyFont="1" applyFill="1" applyBorder="1" applyAlignment="1" applyProtection="1">
      <alignment horizontal="right" vertical="center" wrapText="1" indent="1"/>
      <protection locked="0"/>
    </xf>
    <xf numFmtId="0" fontId="57" fillId="0" borderId="0" xfId="0" applyFont="1" applyFill="1"/>
    <xf numFmtId="0" fontId="38" fillId="0" borderId="0" xfId="0" applyFont="1" applyFill="1"/>
    <xf numFmtId="0" fontId="8" fillId="0" borderId="0" xfId="0" applyFont="1" applyAlignment="1">
      <alignment horizontal="left" vertical="center"/>
    </xf>
    <xf numFmtId="0" fontId="4" fillId="0" borderId="0"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12" fillId="0" borderId="62" xfId="0" applyFont="1" applyBorder="1" applyAlignment="1">
      <alignment horizontal="center" vertical="center" wrapText="1"/>
    </xf>
    <xf numFmtId="0" fontId="21" fillId="2" borderId="1" xfId="0" applyFont="1" applyFill="1" applyBorder="1" applyAlignment="1">
      <alignment horizontal="center" vertical="center" wrapText="1"/>
    </xf>
    <xf numFmtId="0" fontId="12" fillId="13" borderId="23" xfId="0" applyFont="1" applyFill="1" applyBorder="1" applyAlignment="1">
      <alignment horizontal="center" vertical="center" wrapText="1"/>
    </xf>
    <xf numFmtId="0" fontId="17" fillId="13" borderId="23" xfId="0" applyFont="1" applyFill="1" applyBorder="1" applyAlignment="1">
      <alignment horizontal="center" vertical="center" wrapText="1"/>
    </xf>
    <xf numFmtId="0" fontId="21" fillId="13" borderId="11"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17" fillId="0" borderId="35" xfId="0" applyFont="1" applyBorder="1" applyAlignment="1">
      <alignment vertical="center" wrapText="1"/>
    </xf>
    <xf numFmtId="0" fontId="17" fillId="0" borderId="28" xfId="0" applyFont="1" applyBorder="1" applyAlignment="1">
      <alignment vertical="center" wrapText="1"/>
    </xf>
    <xf numFmtId="0" fontId="17" fillId="0" borderId="28" xfId="0" applyFont="1" applyBorder="1" applyAlignment="1">
      <alignment vertical="center"/>
    </xf>
    <xf numFmtId="0" fontId="17" fillId="0" borderId="40" xfId="0" applyFont="1" applyFill="1" applyBorder="1" applyAlignment="1">
      <alignment vertical="center" wrapText="1"/>
    </xf>
    <xf numFmtId="14" fontId="39" fillId="0" borderId="0" xfId="0" applyNumberFormat="1" applyFont="1" applyBorder="1" applyAlignment="1">
      <alignment horizontal="center"/>
    </xf>
    <xf numFmtId="0" fontId="40" fillId="0" borderId="0" xfId="0" applyFont="1" applyFill="1" applyAlignment="1"/>
    <xf numFmtId="0" fontId="76" fillId="0" borderId="0" xfId="0" applyFont="1"/>
    <xf numFmtId="14" fontId="39" fillId="0" borderId="0" xfId="0" applyNumberFormat="1" applyFont="1" applyBorder="1" applyAlignment="1"/>
    <xf numFmtId="0" fontId="77" fillId="0" borderId="0" xfId="0" applyFont="1"/>
    <xf numFmtId="0" fontId="77" fillId="0" borderId="0" xfId="0" applyFont="1" applyBorder="1"/>
    <xf numFmtId="189" fontId="77" fillId="0" borderId="0" xfId="2" applyNumberFormat="1" applyFont="1" applyAlignment="1">
      <alignment horizontal="right"/>
    </xf>
    <xf numFmtId="0" fontId="35" fillId="0" borderId="0" xfId="0" applyFont="1"/>
    <xf numFmtId="0" fontId="15" fillId="0" borderId="0" xfId="0" applyFont="1"/>
    <xf numFmtId="189" fontId="35" fillId="0" borderId="0" xfId="2" applyNumberFormat="1" applyFont="1" applyAlignment="1">
      <alignment horizontal="right"/>
    </xf>
    <xf numFmtId="0" fontId="77" fillId="0" borderId="0" xfId="0" applyFont="1" applyAlignment="1">
      <alignment horizontal="center"/>
    </xf>
    <xf numFmtId="0" fontId="35" fillId="0" borderId="0" xfId="0" applyFont="1" applyAlignment="1">
      <alignment horizontal="center"/>
    </xf>
    <xf numFmtId="0" fontId="15" fillId="0" borderId="0" xfId="0" applyFont="1" applyAlignment="1">
      <alignment horizontal="center"/>
    </xf>
    <xf numFmtId="0" fontId="3" fillId="2" borderId="63" xfId="0" applyFont="1" applyFill="1" applyBorder="1" applyAlignment="1">
      <alignment vertical="center"/>
    </xf>
    <xf numFmtId="0" fontId="3" fillId="2" borderId="63" xfId="0" applyFont="1" applyFill="1" applyBorder="1" applyAlignment="1">
      <alignment horizontal="center" vertical="center"/>
    </xf>
    <xf numFmtId="0" fontId="3" fillId="0" borderId="0" xfId="0" applyFont="1" applyAlignment="1">
      <alignment vertical="center"/>
    </xf>
    <xf numFmtId="0" fontId="77" fillId="0" borderId="0" xfId="0" applyFont="1" applyBorder="1" applyAlignment="1">
      <alignment horizontal="center"/>
    </xf>
    <xf numFmtId="0" fontId="4" fillId="0" borderId="11" xfId="0" applyFont="1" applyBorder="1" applyAlignment="1">
      <alignment horizontal="center" vertical="center"/>
    </xf>
    <xf numFmtId="0" fontId="60" fillId="0" borderId="11" xfId="0" applyFont="1" applyBorder="1" applyAlignment="1">
      <alignment vertical="center"/>
    </xf>
    <xf numFmtId="0" fontId="11" fillId="0" borderId="1" xfId="0" applyFont="1" applyBorder="1" applyAlignment="1">
      <alignment horizontal="center" vertical="center" wrapText="1"/>
    </xf>
    <xf numFmtId="0" fontId="4" fillId="0" borderId="0" xfId="0" applyFont="1" applyAlignment="1">
      <alignment vertical="center"/>
    </xf>
    <xf numFmtId="49" fontId="16" fillId="0" borderId="0" xfId="2" applyNumberFormat="1" applyFont="1" applyAlignment="1">
      <alignment horizontal="right"/>
    </xf>
    <xf numFmtId="2" fontId="10" fillId="2" borderId="1" xfId="2" applyNumberFormat="1" applyFont="1" applyFill="1" applyBorder="1" applyAlignment="1">
      <alignment vertical="center"/>
    </xf>
    <xf numFmtId="3" fontId="8" fillId="2" borderId="11" xfId="2" applyNumberFormat="1" applyFont="1" applyFill="1" applyBorder="1" applyAlignment="1">
      <alignment horizontal="right" vertical="center"/>
    </xf>
    <xf numFmtId="0" fontId="80" fillId="0" borderId="0" xfId="0" applyFont="1"/>
    <xf numFmtId="0" fontId="9" fillId="0" borderId="0" xfId="0" applyFont="1" applyAlignment="1">
      <alignment horizontal="left" indent="1"/>
    </xf>
    <xf numFmtId="0" fontId="7"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Border="1"/>
    <xf numFmtId="0" fontId="36" fillId="0" borderId="0" xfId="0" applyFont="1" applyBorder="1"/>
    <xf numFmtId="0" fontId="11" fillId="6" borderId="28" xfId="0" applyFont="1" applyFill="1" applyBorder="1" applyAlignment="1" applyProtection="1">
      <alignment vertical="center" wrapText="1"/>
      <protection locked="0"/>
    </xf>
    <xf numFmtId="0" fontId="12" fillId="6" borderId="28" xfId="0" applyFont="1" applyFill="1" applyBorder="1" applyAlignment="1" applyProtection="1">
      <alignment vertical="center" wrapText="1"/>
      <protection locked="0"/>
    </xf>
    <xf numFmtId="0" fontId="17" fillId="6" borderId="28" xfId="0" applyFont="1" applyFill="1" applyBorder="1" applyAlignment="1" applyProtection="1">
      <alignment horizontal="center" vertical="center" wrapText="1"/>
      <protection locked="0"/>
    </xf>
    <xf numFmtId="0" fontId="17" fillId="6" borderId="28" xfId="0" applyFont="1" applyFill="1" applyBorder="1" applyAlignment="1" applyProtection="1">
      <alignment vertical="center" wrapText="1"/>
      <protection locked="0"/>
    </xf>
    <xf numFmtId="0" fontId="2" fillId="6" borderId="27" xfId="0" applyFont="1" applyFill="1" applyBorder="1" applyAlignment="1" applyProtection="1">
      <alignment horizontal="left" vertical="center" wrapText="1"/>
      <protection locked="0"/>
    </xf>
    <xf numFmtId="49" fontId="7" fillId="6" borderId="28" xfId="0" applyNumberFormat="1" applyFont="1" applyFill="1" applyBorder="1" applyAlignment="1" applyProtection="1">
      <alignment horizontal="center" vertical="center" wrapText="1"/>
      <protection locked="0"/>
    </xf>
    <xf numFmtId="0" fontId="13" fillId="6" borderId="28" xfId="0" applyFont="1" applyFill="1" applyBorder="1" applyAlignment="1" applyProtection="1">
      <alignment horizontal="center" vertical="center" wrapText="1"/>
      <protection locked="0"/>
    </xf>
    <xf numFmtId="49" fontId="7" fillId="6" borderId="26" xfId="0" applyNumberFormat="1" applyFont="1" applyFill="1" applyBorder="1" applyAlignment="1" applyProtection="1">
      <alignment horizontal="center" vertical="center" wrapText="1"/>
      <protection locked="0"/>
    </xf>
    <xf numFmtId="0" fontId="13" fillId="6" borderId="26" xfId="0" applyFont="1" applyFill="1" applyBorder="1" applyAlignment="1" applyProtection="1">
      <alignment horizontal="center" vertical="center" wrapText="1"/>
      <protection locked="0"/>
    </xf>
    <xf numFmtId="1" fontId="7" fillId="6" borderId="37" xfId="0" applyNumberFormat="1" applyFont="1" applyFill="1" applyBorder="1" applyAlignment="1" applyProtection="1">
      <alignment horizontal="center" vertical="center" wrapText="1"/>
      <protection locked="0"/>
    </xf>
    <xf numFmtId="1" fontId="7" fillId="6" borderId="27" xfId="0" applyNumberFormat="1" applyFont="1" applyFill="1" applyBorder="1" applyAlignment="1" applyProtection="1">
      <alignment horizontal="center" vertical="center" wrapText="1"/>
      <protection locked="0"/>
    </xf>
    <xf numFmtId="1" fontId="13" fillId="6" borderId="27" xfId="0" applyNumberFormat="1" applyFont="1" applyFill="1" applyBorder="1" applyAlignment="1" applyProtection="1">
      <alignment horizontal="center" vertical="center" wrapText="1"/>
      <protection locked="0"/>
    </xf>
    <xf numFmtId="0" fontId="2" fillId="6" borderId="27" xfId="0" applyFont="1" applyFill="1" applyBorder="1" applyAlignment="1" applyProtection="1">
      <alignment vertical="center" wrapText="1"/>
      <protection locked="0"/>
    </xf>
    <xf numFmtId="0" fontId="2" fillId="6" borderId="64" xfId="0" applyFont="1" applyFill="1" applyBorder="1" applyAlignment="1" applyProtection="1">
      <alignment vertical="center" wrapText="1"/>
      <protection locked="0"/>
    </xf>
    <xf numFmtId="0" fontId="13" fillId="6" borderId="53" xfId="0" applyFont="1" applyFill="1" applyBorder="1" applyAlignment="1" applyProtection="1">
      <alignment horizontal="center" vertical="center" wrapText="1"/>
      <protection locked="0"/>
    </xf>
    <xf numFmtId="0" fontId="2" fillId="6" borderId="37" xfId="0" applyFont="1" applyFill="1" applyBorder="1" applyAlignment="1" applyProtection="1">
      <alignment vertical="center" wrapText="1"/>
      <protection locked="0"/>
    </xf>
    <xf numFmtId="1" fontId="13" fillId="6" borderId="37" xfId="0" applyNumberFormat="1" applyFont="1" applyFill="1" applyBorder="1" applyAlignment="1" applyProtection="1">
      <alignment horizontal="center" vertical="center" wrapText="1"/>
      <protection locked="0"/>
    </xf>
    <xf numFmtId="0" fontId="2" fillId="6" borderId="38" xfId="0" applyFont="1" applyFill="1" applyBorder="1" applyAlignment="1" applyProtection="1">
      <alignment vertical="center" wrapText="1"/>
      <protection locked="0"/>
    </xf>
    <xf numFmtId="49" fontId="7" fillId="6" borderId="29" xfId="0" applyNumberFormat="1" applyFont="1" applyFill="1" applyBorder="1" applyAlignment="1" applyProtection="1">
      <alignment horizontal="center" vertical="center" wrapText="1"/>
      <protection locked="0"/>
    </xf>
    <xf numFmtId="0" fontId="13" fillId="6" borderId="29" xfId="0" applyFont="1" applyFill="1" applyBorder="1" applyAlignment="1" applyProtection="1">
      <alignment horizontal="center" vertical="center" wrapText="1"/>
      <protection locked="0"/>
    </xf>
    <xf numFmtId="0" fontId="60" fillId="0" borderId="0" xfId="0" applyFont="1"/>
    <xf numFmtId="0" fontId="8" fillId="0" borderId="0" xfId="0" applyFont="1" applyAlignment="1">
      <alignment horizontal="left"/>
    </xf>
    <xf numFmtId="0" fontId="1" fillId="6" borderId="0" xfId="0" applyFont="1" applyFill="1" applyBorder="1" applyAlignment="1">
      <alignment horizontal="center"/>
    </xf>
    <xf numFmtId="0" fontId="1" fillId="0" borderId="0" xfId="0" applyFont="1" applyBorder="1"/>
    <xf numFmtId="189" fontId="1" fillId="0" borderId="0" xfId="2" applyNumberFormat="1" applyFont="1" applyBorder="1" applyAlignment="1">
      <alignment horizontal="center"/>
    </xf>
    <xf numFmtId="0" fontId="4" fillId="0" borderId="11" xfId="0" applyFont="1" applyBorder="1" applyAlignment="1">
      <alignment horizontal="center" vertical="center" wrapText="1"/>
    </xf>
    <xf numFmtId="0" fontId="1" fillId="6" borderId="65" xfId="0" applyFont="1" applyFill="1" applyBorder="1"/>
    <xf numFmtId="0" fontId="1" fillId="6" borderId="65" xfId="0" applyFont="1" applyFill="1" applyBorder="1" applyAlignment="1">
      <alignment horizontal="center"/>
    </xf>
    <xf numFmtId="0" fontId="1" fillId="0" borderId="21" xfId="0" applyFont="1" applyBorder="1"/>
    <xf numFmtId="0" fontId="1" fillId="6" borderId="21" xfId="0" applyFont="1" applyFill="1" applyBorder="1" applyAlignment="1">
      <alignment horizontal="center"/>
    </xf>
    <xf numFmtId="189" fontId="1" fillId="0" borderId="21" xfId="2" applyNumberFormat="1" applyFont="1" applyBorder="1" applyAlignment="1">
      <alignment horizontal="center"/>
    </xf>
    <xf numFmtId="189" fontId="1" fillId="6" borderId="66" xfId="2" applyNumberFormat="1" applyFont="1" applyFill="1" applyBorder="1" applyAlignment="1">
      <alignment horizontal="right"/>
    </xf>
    <xf numFmtId="183" fontId="11" fillId="9" borderId="33" xfId="2" applyNumberFormat="1" applyFont="1" applyFill="1" applyBorder="1" applyAlignment="1">
      <alignment horizontal="right" vertical="center" wrapText="1" indent="1"/>
    </xf>
    <xf numFmtId="3" fontId="7" fillId="2" borderId="67" xfId="0" applyNumberFormat="1" applyFont="1" applyFill="1" applyBorder="1" applyAlignment="1">
      <alignment horizontal="right" vertical="center" wrapText="1" indent="1"/>
    </xf>
    <xf numFmtId="189" fontId="3" fillId="0" borderId="1" xfId="2" applyNumberFormat="1" applyFont="1" applyBorder="1" applyAlignment="1">
      <alignment horizontal="center" vertical="center" wrapText="1"/>
    </xf>
    <xf numFmtId="0" fontId="12" fillId="2" borderId="0" xfId="0" applyFont="1" applyFill="1" applyBorder="1" applyAlignment="1">
      <alignment horizontal="left" vertical="center" wrapText="1"/>
    </xf>
    <xf numFmtId="14" fontId="84" fillId="0" borderId="0" xfId="0" applyNumberFormat="1" applyFont="1"/>
    <xf numFmtId="0" fontId="77" fillId="0" borderId="0" xfId="0" applyFont="1" applyAlignment="1">
      <alignment horizontal="center" vertical="center"/>
    </xf>
    <xf numFmtId="0" fontId="0" fillId="0" borderId="0" xfId="0" applyFill="1" applyBorder="1" applyAlignment="1">
      <alignment vertical="center"/>
    </xf>
    <xf numFmtId="0" fontId="77" fillId="0" borderId="0" xfId="0" applyFont="1" applyAlignment="1">
      <alignment vertical="center"/>
    </xf>
    <xf numFmtId="189" fontId="35" fillId="0" borderId="0" xfId="2" applyNumberFormat="1" applyFont="1" applyAlignment="1">
      <alignment horizontal="right" vertical="center"/>
    </xf>
    <xf numFmtId="0" fontId="37" fillId="2" borderId="0" xfId="0" applyFont="1" applyFill="1" applyBorder="1" applyAlignment="1">
      <alignment horizontal="left" vertical="center" wrapText="1"/>
    </xf>
    <xf numFmtId="0" fontId="30" fillId="0" borderId="0" xfId="0" applyFont="1" applyBorder="1" applyAlignment="1">
      <alignment horizontal="left" vertical="center" wrapText="1"/>
    </xf>
    <xf numFmtId="0" fontId="30" fillId="0" borderId="0" xfId="0" applyFont="1" applyFill="1" applyBorder="1" applyAlignment="1">
      <alignment horizontal="left" vertical="center" wrapText="1"/>
    </xf>
    <xf numFmtId="0" fontId="1" fillId="0" borderId="0" xfId="0" applyFont="1" applyFill="1"/>
    <xf numFmtId="0" fontId="85" fillId="0" borderId="0" xfId="0" applyFont="1"/>
    <xf numFmtId="0" fontId="7" fillId="0" borderId="0" xfId="0" applyFont="1" applyFill="1" applyBorder="1" applyAlignment="1">
      <alignment horizontal="center"/>
    </xf>
    <xf numFmtId="0" fontId="0" fillId="2" borderId="10" xfId="0" applyFill="1" applyBorder="1" applyAlignment="1">
      <alignment horizontal="center"/>
    </xf>
    <xf numFmtId="4" fontId="3" fillId="2" borderId="17" xfId="0" applyNumberFormat="1" applyFont="1" applyFill="1" applyBorder="1" applyAlignment="1">
      <alignment vertical="center" wrapText="1"/>
    </xf>
    <xf numFmtId="4" fontId="3" fillId="2" borderId="11" xfId="0" applyNumberFormat="1" applyFont="1" applyFill="1" applyBorder="1" applyAlignment="1">
      <alignment vertical="center" wrapText="1"/>
    </xf>
    <xf numFmtId="0" fontId="7" fillId="6" borderId="57" xfId="0" applyFont="1" applyFill="1" applyBorder="1" applyAlignment="1" applyProtection="1">
      <alignment vertical="center" wrapText="1"/>
      <protection locked="0"/>
    </xf>
    <xf numFmtId="0" fontId="7" fillId="6" borderId="68" xfId="0" applyFont="1" applyFill="1" applyBorder="1" applyAlignment="1" applyProtection="1">
      <alignment vertical="center" wrapText="1"/>
      <protection locked="0"/>
    </xf>
    <xf numFmtId="0" fontId="0" fillId="2" borderId="69" xfId="0" applyFill="1" applyBorder="1" applyAlignment="1">
      <alignment horizontal="center"/>
    </xf>
    <xf numFmtId="0" fontId="0" fillId="2" borderId="70" xfId="0" applyFill="1" applyBorder="1" applyAlignment="1">
      <alignment horizontal="center"/>
    </xf>
    <xf numFmtId="0" fontId="0" fillId="2" borderId="71" xfId="0" applyFill="1" applyBorder="1" applyAlignment="1">
      <alignment horizontal="center"/>
    </xf>
    <xf numFmtId="0" fontId="13" fillId="6" borderId="39" xfId="0" applyFont="1" applyFill="1" applyBorder="1" applyAlignment="1">
      <alignment vertical="center" wrapText="1"/>
    </xf>
    <xf numFmtId="0" fontId="13" fillId="6" borderId="40" xfId="0" applyFont="1" applyFill="1" applyBorder="1" applyAlignment="1">
      <alignment vertical="center" wrapText="1"/>
    </xf>
    <xf numFmtId="0" fontId="13" fillId="6" borderId="56"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0" borderId="0" xfId="0" applyFont="1" applyFill="1" applyBorder="1" applyAlignment="1" applyProtection="1">
      <alignment horizontal="left" vertical="center" wrapText="1"/>
      <protection locked="0"/>
    </xf>
    <xf numFmtId="10" fontId="12" fillId="0" borderId="0" xfId="0" applyNumberFormat="1" applyFont="1" applyFill="1" applyBorder="1" applyAlignment="1" applyProtection="1">
      <alignment horizontal="center" vertical="center" wrapText="1"/>
      <protection locked="0"/>
    </xf>
    <xf numFmtId="4" fontId="12" fillId="0" borderId="0" xfId="0" applyNumberFormat="1" applyFont="1" applyFill="1" applyBorder="1" applyAlignment="1" applyProtection="1">
      <alignment horizontal="right" vertical="center" wrapText="1" indent="1"/>
      <protection locked="0"/>
    </xf>
    <xf numFmtId="4" fontId="12" fillId="0" borderId="0" xfId="0" applyNumberFormat="1" applyFont="1" applyFill="1" applyBorder="1" applyAlignment="1">
      <alignment horizontal="right" vertical="center" wrapText="1" indent="1"/>
    </xf>
    <xf numFmtId="0" fontId="0" fillId="0" borderId="0" xfId="0" applyFill="1" applyAlignment="1">
      <alignment vertical="center"/>
    </xf>
    <xf numFmtId="0" fontId="7" fillId="0" borderId="2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30" fillId="0" borderId="22" xfId="0" applyFont="1" applyBorder="1" applyAlignment="1">
      <alignment horizontal="left" vertical="center" wrapText="1"/>
    </xf>
    <xf numFmtId="0" fontId="7" fillId="0" borderId="23" xfId="0" applyFont="1" applyFill="1" applyBorder="1" applyAlignment="1">
      <alignment horizontal="center" vertical="center" wrapText="1"/>
    </xf>
    <xf numFmtId="4" fontId="12" fillId="0" borderId="31" xfId="0" applyNumberFormat="1" applyFont="1" applyBorder="1" applyAlignment="1">
      <alignment horizontal="right" vertical="center" wrapText="1" indent="1"/>
    </xf>
    <xf numFmtId="4" fontId="12" fillId="0" borderId="32" xfId="0" applyNumberFormat="1" applyFont="1" applyBorder="1" applyAlignment="1">
      <alignment horizontal="right" vertical="center" wrapText="1" indent="1"/>
    </xf>
    <xf numFmtId="10" fontId="12" fillId="6" borderId="30" xfId="0" applyNumberFormat="1" applyFont="1" applyFill="1" applyBorder="1" applyAlignment="1" applyProtection="1">
      <alignment horizontal="center" vertical="center" wrapText="1"/>
      <protection locked="0"/>
    </xf>
    <xf numFmtId="4" fontId="12" fillId="6" borderId="30" xfId="0" applyNumberFormat="1" applyFont="1" applyFill="1" applyBorder="1" applyAlignment="1" applyProtection="1">
      <alignment horizontal="right" vertical="center" wrapText="1" indent="1"/>
      <protection locked="0"/>
    </xf>
    <xf numFmtId="4" fontId="12" fillId="0" borderId="51" xfId="0" applyNumberFormat="1" applyFont="1" applyBorder="1" applyAlignment="1">
      <alignment horizontal="right" vertical="center" wrapText="1" indent="1"/>
    </xf>
    <xf numFmtId="10" fontId="12" fillId="0" borderId="21" xfId="0" applyNumberFormat="1" applyFont="1" applyBorder="1" applyAlignment="1">
      <alignment horizontal="center" vertical="center" wrapText="1"/>
    </xf>
    <xf numFmtId="4" fontId="12" fillId="0" borderId="21" xfId="0" applyNumberFormat="1" applyFont="1" applyBorder="1" applyAlignment="1">
      <alignment vertical="center" wrapText="1"/>
    </xf>
    <xf numFmtId="4" fontId="13" fillId="0" borderId="13" xfId="0" applyNumberFormat="1" applyFont="1" applyBorder="1" applyAlignment="1">
      <alignment vertical="center" wrapText="1"/>
    </xf>
    <xf numFmtId="4" fontId="13" fillId="0" borderId="23" xfId="0" applyNumberFormat="1" applyFont="1" applyBorder="1" applyAlignment="1">
      <alignment vertical="center" wrapText="1"/>
    </xf>
    <xf numFmtId="4" fontId="30" fillId="0" borderId="21" xfId="0" applyNumberFormat="1" applyFont="1" applyFill="1" applyBorder="1" applyAlignment="1">
      <alignment horizontal="center" vertical="center" wrapText="1"/>
    </xf>
    <xf numFmtId="4" fontId="13" fillId="0" borderId="13" xfId="0" applyNumberFormat="1" applyFont="1" applyFill="1" applyBorder="1" applyAlignment="1">
      <alignment vertical="center" wrapText="1"/>
    </xf>
    <xf numFmtId="0" fontId="30" fillId="0" borderId="22" xfId="0" applyFont="1" applyFill="1" applyBorder="1" applyAlignment="1">
      <alignment horizontal="left" vertical="center" wrapText="1"/>
    </xf>
    <xf numFmtId="4" fontId="13" fillId="0" borderId="23" xfId="0" applyNumberFormat="1" applyFont="1" applyFill="1" applyBorder="1" applyAlignment="1">
      <alignment vertical="center" wrapText="1"/>
    </xf>
    <xf numFmtId="10" fontId="30" fillId="0" borderId="21" xfId="0" applyNumberFormat="1" applyFont="1" applyBorder="1" applyAlignment="1">
      <alignment horizontal="center" vertical="center" wrapText="1"/>
    </xf>
    <xf numFmtId="4" fontId="30" fillId="0" borderId="21" xfId="0" applyNumberFormat="1" applyFont="1" applyBorder="1" applyAlignment="1">
      <alignment horizontal="center" vertical="center" wrapText="1"/>
    </xf>
    <xf numFmtId="0" fontId="87" fillId="0" borderId="21" xfId="0" applyFont="1" applyBorder="1" applyAlignment="1">
      <alignment vertical="center" wrapText="1"/>
    </xf>
    <xf numFmtId="14" fontId="79" fillId="0" borderId="0" xfId="2" applyNumberFormat="1" applyFont="1" applyBorder="1" applyAlignment="1">
      <alignment horizontal="right"/>
    </xf>
    <xf numFmtId="0" fontId="9" fillId="0" borderId="0" xfId="0" applyFont="1" applyFill="1" applyBorder="1" applyAlignment="1">
      <alignment horizontal="left" vertical="top" wrapText="1"/>
    </xf>
    <xf numFmtId="0" fontId="13" fillId="6" borderId="67" xfId="0" applyFont="1" applyFill="1" applyBorder="1" applyAlignment="1" applyProtection="1">
      <alignment vertical="center" wrapText="1"/>
    </xf>
    <xf numFmtId="0" fontId="0" fillId="0" borderId="0" xfId="0" applyProtection="1"/>
    <xf numFmtId="0" fontId="68" fillId="0" borderId="0" xfId="0" applyFont="1" applyFill="1" applyBorder="1" applyAlignment="1" applyProtection="1"/>
    <xf numFmtId="0" fontId="86" fillId="0" borderId="0" xfId="0" applyFont="1" applyFill="1" applyProtection="1"/>
    <xf numFmtId="0" fontId="6" fillId="0" borderId="0" xfId="0" applyFont="1" applyAlignment="1" applyProtection="1">
      <alignment horizontal="right"/>
    </xf>
    <xf numFmtId="0" fontId="60" fillId="0" borderId="0" xfId="0" applyFont="1" applyProtection="1"/>
    <xf numFmtId="0" fontId="11" fillId="0" borderId="0" xfId="0" applyFont="1" applyProtection="1"/>
    <xf numFmtId="0" fontId="9" fillId="2" borderId="14" xfId="0" applyFont="1" applyFill="1" applyBorder="1" applyAlignment="1" applyProtection="1">
      <alignment vertical="center" wrapText="1"/>
    </xf>
    <xf numFmtId="0" fontId="21" fillId="2" borderId="14"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0" borderId="0" xfId="0" applyFont="1" applyAlignment="1" applyProtection="1">
      <alignment vertical="center"/>
    </xf>
    <xf numFmtId="0" fontId="13" fillId="2" borderId="72" xfId="0" applyFont="1" applyFill="1" applyBorder="1" applyAlignment="1" applyProtection="1">
      <alignment vertical="center" wrapText="1"/>
    </xf>
    <xf numFmtId="0" fontId="4" fillId="2" borderId="73" xfId="0" applyFont="1" applyFill="1" applyBorder="1" applyAlignment="1" applyProtection="1">
      <alignment vertical="center" wrapText="1"/>
    </xf>
    <xf numFmtId="4" fontId="4" fillId="2" borderId="11" xfId="0" applyNumberFormat="1" applyFont="1" applyFill="1" applyBorder="1" applyAlignment="1" applyProtection="1">
      <alignment horizontal="right" vertical="center" wrapText="1" indent="1"/>
    </xf>
    <xf numFmtId="0" fontId="13" fillId="2" borderId="19" xfId="0" applyFont="1" applyFill="1" applyBorder="1" applyAlignment="1" applyProtection="1">
      <alignment vertical="center" wrapText="1"/>
    </xf>
    <xf numFmtId="0" fontId="0" fillId="0" borderId="0" xfId="0" applyAlignment="1" applyProtection="1">
      <alignment vertical="center"/>
    </xf>
    <xf numFmtId="0" fontId="13" fillId="6" borderId="74" xfId="0" applyFont="1" applyFill="1" applyBorder="1" applyAlignment="1" applyProtection="1">
      <alignment vertical="center" wrapText="1"/>
    </xf>
    <xf numFmtId="4" fontId="13" fillId="6" borderId="67" xfId="0" applyNumberFormat="1" applyFont="1" applyFill="1" applyBorder="1" applyAlignment="1" applyProtection="1">
      <alignment horizontal="right" vertical="center" wrapText="1" indent="1"/>
    </xf>
    <xf numFmtId="0" fontId="13" fillId="6" borderId="75" xfId="0" applyFont="1" applyFill="1" applyBorder="1" applyAlignment="1" applyProtection="1">
      <alignment vertical="center" wrapText="1"/>
    </xf>
    <xf numFmtId="0" fontId="13" fillId="6" borderId="27" xfId="0" applyFont="1" applyFill="1" applyBorder="1" applyAlignment="1" applyProtection="1">
      <alignment vertical="center" wrapText="1"/>
    </xf>
    <xf numFmtId="0" fontId="13" fillId="6" borderId="28" xfId="0" applyFont="1" applyFill="1" applyBorder="1" applyAlignment="1" applyProtection="1">
      <alignment vertical="center" wrapText="1"/>
    </xf>
    <xf numFmtId="4" fontId="13" fillId="6" borderId="28" xfId="0" applyNumberFormat="1" applyFont="1" applyFill="1" applyBorder="1" applyAlignment="1" applyProtection="1">
      <alignment horizontal="right" vertical="center" wrapText="1" indent="1"/>
    </xf>
    <xf numFmtId="0" fontId="13" fillId="6" borderId="40" xfId="0" applyFont="1" applyFill="1" applyBorder="1" applyAlignment="1" applyProtection="1">
      <alignment vertical="center" wrapText="1"/>
    </xf>
    <xf numFmtId="0" fontId="13" fillId="6" borderId="38" xfId="0" applyFont="1" applyFill="1" applyBorder="1" applyAlignment="1" applyProtection="1">
      <alignment vertical="center" wrapText="1"/>
    </xf>
    <xf numFmtId="0" fontId="13" fillId="6" borderId="29" xfId="0" applyFont="1" applyFill="1" applyBorder="1" applyAlignment="1" applyProtection="1">
      <alignment vertical="center" wrapText="1"/>
    </xf>
    <xf numFmtId="4" fontId="13" fillId="6" borderId="29" xfId="0" applyNumberFormat="1" applyFont="1" applyFill="1" applyBorder="1" applyAlignment="1" applyProtection="1">
      <alignment horizontal="right" vertical="center" wrapText="1" indent="1"/>
    </xf>
    <xf numFmtId="0" fontId="13" fillId="6" borderId="56" xfId="0" applyFont="1" applyFill="1" applyBorder="1" applyAlignment="1" applyProtection="1">
      <alignment vertical="center" wrapText="1"/>
    </xf>
    <xf numFmtId="0" fontId="23" fillId="0" borderId="0" xfId="0" applyFont="1" applyProtection="1"/>
    <xf numFmtId="4" fontId="0" fillId="0" borderId="0" xfId="0" applyNumberFormat="1" applyAlignment="1" applyProtection="1">
      <alignment vertical="center"/>
    </xf>
    <xf numFmtId="4" fontId="3" fillId="2" borderId="11" xfId="0" applyNumberFormat="1" applyFont="1" applyFill="1" applyBorder="1" applyAlignment="1" applyProtection="1">
      <alignment horizontal="right" vertical="center" wrapText="1" indent="1"/>
    </xf>
    <xf numFmtId="0" fontId="3" fillId="2" borderId="19" xfId="0" applyFont="1" applyFill="1" applyBorder="1" applyAlignment="1" applyProtection="1">
      <alignment horizontal="center" vertical="center"/>
    </xf>
    <xf numFmtId="0" fontId="2" fillId="0" borderId="0" xfId="0" applyFont="1" applyAlignment="1" applyProtection="1">
      <alignment vertical="center"/>
    </xf>
    <xf numFmtId="0" fontId="8" fillId="0" borderId="0" xfId="0" applyFont="1" applyProtection="1"/>
    <xf numFmtId="0" fontId="9" fillId="2" borderId="12" xfId="0" applyFont="1" applyFill="1" applyBorder="1" applyAlignment="1" applyProtection="1">
      <alignment vertical="center" wrapText="1"/>
    </xf>
    <xf numFmtId="0" fontId="21" fillId="2" borderId="12" xfId="0" applyFont="1" applyFill="1" applyBorder="1" applyAlignment="1" applyProtection="1">
      <alignment horizontal="center" vertical="center" wrapText="1"/>
    </xf>
    <xf numFmtId="0" fontId="9" fillId="2" borderId="12" xfId="0" applyFont="1" applyFill="1" applyBorder="1" applyAlignment="1" applyProtection="1">
      <alignment horizontal="center" vertical="center" wrapText="1"/>
    </xf>
    <xf numFmtId="0" fontId="13" fillId="6" borderId="37" xfId="0" applyFont="1" applyFill="1" applyBorder="1" applyAlignment="1" applyProtection="1">
      <alignment vertical="center" wrapText="1"/>
    </xf>
    <xf numFmtId="0" fontId="13" fillId="6" borderId="26" xfId="0" applyFont="1" applyFill="1" applyBorder="1" applyAlignment="1" applyProtection="1">
      <alignment vertical="center" wrapText="1"/>
    </xf>
    <xf numFmtId="4" fontId="13" fillId="6" borderId="26" xfId="0" applyNumberFormat="1" applyFont="1" applyFill="1" applyBorder="1" applyAlignment="1" applyProtection="1">
      <alignment horizontal="right" vertical="center" wrapText="1" indent="1"/>
    </xf>
    <xf numFmtId="0" fontId="13" fillId="6" borderId="39" xfId="0" applyFont="1" applyFill="1" applyBorder="1" applyAlignment="1" applyProtection="1">
      <alignment vertical="center" wrapText="1"/>
    </xf>
    <xf numFmtId="0" fontId="9" fillId="0" borderId="0" xfId="0" applyFont="1" applyFill="1" applyBorder="1" applyAlignment="1">
      <alignment vertical="center"/>
    </xf>
    <xf numFmtId="49" fontId="7" fillId="6" borderId="37" xfId="0" applyNumberFormat="1" applyFont="1" applyFill="1" applyBorder="1" applyAlignment="1" applyProtection="1">
      <alignment horizontal="left" vertical="center" wrapText="1" indent="1"/>
      <protection locked="0"/>
    </xf>
    <xf numFmtId="49" fontId="7" fillId="6" borderId="27" xfId="0" applyNumberFormat="1" applyFont="1" applyFill="1" applyBorder="1" applyAlignment="1" applyProtection="1">
      <alignment horizontal="left" vertical="center" wrapText="1" indent="1"/>
      <protection locked="0"/>
    </xf>
    <xf numFmtId="49" fontId="7" fillId="6" borderId="38" xfId="0" applyNumberFormat="1" applyFont="1" applyFill="1" applyBorder="1" applyAlignment="1" applyProtection="1">
      <alignment horizontal="left" vertical="center" wrapText="1" indent="1"/>
      <protection locked="0"/>
    </xf>
    <xf numFmtId="0" fontId="7" fillId="6" borderId="37" xfId="0" applyFont="1" applyFill="1" applyBorder="1" applyAlignment="1" applyProtection="1">
      <alignment horizontal="left" vertical="center" wrapText="1" indent="1"/>
      <protection locked="0"/>
    </xf>
    <xf numFmtId="0" fontId="7" fillId="6" borderId="27" xfId="0" applyFont="1" applyFill="1" applyBorder="1" applyAlignment="1" applyProtection="1">
      <alignment horizontal="left" vertical="center" wrapText="1" indent="1"/>
      <protection locked="0"/>
    </xf>
    <xf numFmtId="0" fontId="7" fillId="6" borderId="38" xfId="0" applyFont="1" applyFill="1" applyBorder="1" applyAlignment="1" applyProtection="1">
      <alignment horizontal="left" vertical="center" wrapText="1" indent="1"/>
      <protection locked="0"/>
    </xf>
    <xf numFmtId="0" fontId="11" fillId="6" borderId="37" xfId="0" applyFont="1" applyFill="1" applyBorder="1" applyAlignment="1" applyProtection="1">
      <alignment horizontal="left" vertical="center" wrapText="1" indent="1"/>
      <protection locked="0"/>
    </xf>
    <xf numFmtId="0" fontId="7" fillId="6" borderId="26" xfId="0" applyNumberFormat="1" applyFont="1" applyFill="1" applyBorder="1" applyAlignment="1" applyProtection="1">
      <alignment horizontal="center" vertical="center" wrapText="1"/>
      <protection locked="0"/>
    </xf>
    <xf numFmtId="0" fontId="11" fillId="6" borderId="27" xfId="0" applyFont="1" applyFill="1" applyBorder="1" applyAlignment="1" applyProtection="1">
      <alignment horizontal="left" vertical="center" wrapText="1" indent="1"/>
      <protection locked="0"/>
    </xf>
    <xf numFmtId="0" fontId="7" fillId="6" borderId="28" xfId="0" applyNumberFormat="1" applyFont="1" applyFill="1" applyBorder="1" applyAlignment="1" applyProtection="1">
      <alignment horizontal="center" vertical="center" wrapText="1"/>
      <protection locked="0"/>
    </xf>
    <xf numFmtId="49" fontId="12" fillId="0" borderId="0" xfId="0" applyNumberFormat="1" applyFont="1" applyBorder="1"/>
    <xf numFmtId="0" fontId="4" fillId="0" borderId="0" xfId="0" applyFont="1" applyFill="1"/>
    <xf numFmtId="0" fontId="6" fillId="0" borderId="0" xfId="0" applyFont="1" applyFill="1" applyAlignment="1">
      <alignment horizontal="left"/>
    </xf>
    <xf numFmtId="0" fontId="8" fillId="0" borderId="0" xfId="0" applyFont="1" applyFill="1"/>
    <xf numFmtId="0" fontId="2" fillId="0" borderId="0" xfId="0" applyFont="1" applyFill="1"/>
    <xf numFmtId="0" fontId="35" fillId="0" borderId="0" xfId="0" applyFont="1" applyFill="1" applyAlignment="1">
      <alignment horizontal="left"/>
    </xf>
    <xf numFmtId="0" fontId="15" fillId="0" borderId="0" xfId="0" applyFont="1" applyFill="1"/>
    <xf numFmtId="0" fontId="58" fillId="0" borderId="0" xfId="0" applyFont="1" applyFill="1"/>
    <xf numFmtId="0" fontId="82" fillId="0" borderId="0" xfId="0" applyFont="1" applyFill="1" applyAlignment="1">
      <alignment wrapText="1"/>
    </xf>
    <xf numFmtId="0" fontId="2" fillId="0" borderId="0" xfId="0" applyFont="1" applyFill="1" applyAlignment="1">
      <alignment wrapText="1"/>
    </xf>
    <xf numFmtId="0" fontId="13" fillId="0" borderId="0" xfId="0" applyFont="1" applyFill="1"/>
    <xf numFmtId="0" fontId="59" fillId="0" borderId="0" xfId="0" applyFont="1" applyFill="1" applyAlignment="1"/>
    <xf numFmtId="0" fontId="13" fillId="0" borderId="0" xfId="0" applyFont="1" applyFill="1" applyAlignment="1"/>
    <xf numFmtId="0" fontId="12" fillId="0" borderId="0" xfId="0" applyFont="1" applyFill="1"/>
    <xf numFmtId="0" fontId="35" fillId="14" borderId="0" xfId="0" applyFont="1" applyFill="1" applyAlignment="1">
      <alignment horizontal="left"/>
    </xf>
    <xf numFmtId="0" fontId="90" fillId="0" borderId="0" xfId="0" applyFont="1" applyFill="1" applyAlignment="1">
      <alignment vertical="center"/>
    </xf>
    <xf numFmtId="0" fontId="7" fillId="6" borderId="0" xfId="0" applyFont="1" applyFill="1" applyBorder="1"/>
    <xf numFmtId="0" fontId="82" fillId="0" borderId="12" xfId="0" applyFont="1" applyFill="1" applyBorder="1" applyAlignment="1">
      <alignment wrapText="1"/>
    </xf>
    <xf numFmtId="0" fontId="60" fillId="0" borderId="11" xfId="0" applyFont="1" applyFill="1" applyBorder="1" applyAlignment="1">
      <alignment horizontal="center" vertical="center"/>
    </xf>
    <xf numFmtId="0" fontId="11" fillId="0" borderId="63" xfId="0" applyFont="1" applyBorder="1" applyAlignment="1">
      <alignment horizontal="center" vertical="center" wrapText="1"/>
    </xf>
    <xf numFmtId="0" fontId="12" fillId="6" borderId="34" xfId="0" applyFont="1" applyFill="1" applyBorder="1" applyAlignment="1" applyProtection="1">
      <alignment horizontal="left" vertical="center" wrapText="1"/>
      <protection locked="0"/>
    </xf>
    <xf numFmtId="0" fontId="12" fillId="6" borderId="35" xfId="0" applyFont="1" applyFill="1" applyBorder="1" applyAlignment="1" applyProtection="1">
      <alignment horizontal="left" vertical="center" wrapText="1"/>
      <protection locked="0"/>
    </xf>
    <xf numFmtId="3" fontId="9" fillId="2" borderId="31" xfId="0" applyNumberFormat="1" applyFont="1" applyFill="1" applyBorder="1" applyAlignment="1">
      <alignment horizontal="right" vertical="center" wrapText="1" indent="1"/>
    </xf>
    <xf numFmtId="3" fontId="9" fillId="2" borderId="32" xfId="0" applyNumberFormat="1" applyFont="1" applyFill="1" applyBorder="1" applyAlignment="1">
      <alignment horizontal="right" vertical="center" wrapText="1" indent="1"/>
    </xf>
    <xf numFmtId="0" fontId="12" fillId="0" borderId="36" xfId="0" applyFont="1" applyBorder="1" applyAlignment="1">
      <alignment vertical="center" wrapText="1"/>
    </xf>
    <xf numFmtId="3" fontId="9" fillId="2" borderId="33" xfId="0" applyNumberFormat="1" applyFont="1" applyFill="1" applyBorder="1" applyAlignment="1">
      <alignment horizontal="right" vertical="center" wrapText="1" indent="1"/>
    </xf>
    <xf numFmtId="0" fontId="26" fillId="0" borderId="22" xfId="0" applyFont="1" applyBorder="1"/>
    <xf numFmtId="0" fontId="11" fillId="2" borderId="76" xfId="0" applyFont="1" applyFill="1" applyBorder="1" applyAlignment="1">
      <alignment vertical="center" wrapText="1"/>
    </xf>
    <xf numFmtId="3" fontId="11" fillId="2" borderId="76" xfId="0" applyNumberFormat="1" applyFont="1" applyFill="1" applyBorder="1" applyAlignment="1">
      <alignment horizontal="center" vertical="center" wrapText="1"/>
    </xf>
    <xf numFmtId="0" fontId="11" fillId="2" borderId="76" xfId="0" applyFont="1" applyFill="1" applyBorder="1" applyAlignment="1">
      <alignment horizontal="center" vertical="center" wrapText="1"/>
    </xf>
    <xf numFmtId="3" fontId="56" fillId="2" borderId="76" xfId="0" applyNumberFormat="1" applyFont="1" applyFill="1" applyBorder="1" applyAlignment="1">
      <alignment horizontal="center" vertical="center"/>
    </xf>
    <xf numFmtId="181" fontId="9" fillId="2" borderId="76" xfId="1" applyNumberFormat="1" applyFont="1" applyFill="1" applyBorder="1" applyAlignment="1">
      <alignment vertical="center" wrapText="1"/>
    </xf>
    <xf numFmtId="0" fontId="4" fillId="0" borderId="21" xfId="0" applyFont="1" applyBorder="1"/>
    <xf numFmtId="0" fontId="18" fillId="0" borderId="22" xfId="0" applyFont="1" applyBorder="1"/>
    <xf numFmtId="0" fontId="18" fillId="0" borderId="0" xfId="0" applyFont="1" applyBorder="1"/>
    <xf numFmtId="0" fontId="12" fillId="6" borderId="36" xfId="0" applyFont="1" applyFill="1" applyBorder="1" applyAlignment="1" applyProtection="1">
      <alignment horizontal="left" vertical="center" wrapText="1"/>
      <protection locked="0"/>
    </xf>
    <xf numFmtId="0" fontId="12" fillId="2" borderId="77" xfId="0" applyFont="1" applyFill="1" applyBorder="1" applyAlignment="1">
      <alignment horizontal="center" vertical="center" wrapText="1"/>
    </xf>
    <xf numFmtId="3" fontId="21" fillId="2" borderId="31" xfId="0" applyNumberFormat="1" applyFont="1" applyFill="1" applyBorder="1" applyAlignment="1">
      <alignment horizontal="right" vertical="center" wrapText="1" indent="1"/>
    </xf>
    <xf numFmtId="3" fontId="21" fillId="2" borderId="32" xfId="0" applyNumberFormat="1" applyFont="1" applyFill="1" applyBorder="1" applyAlignment="1">
      <alignment horizontal="right" vertical="center" wrapText="1" indent="1"/>
    </xf>
    <xf numFmtId="3" fontId="21" fillId="2" borderId="78" xfId="0" applyNumberFormat="1" applyFont="1" applyFill="1" applyBorder="1" applyAlignment="1">
      <alignment horizontal="right" vertical="center" wrapText="1" indent="1"/>
    </xf>
    <xf numFmtId="3" fontId="9" fillId="0" borderId="0" xfId="0" applyNumberFormat="1" applyFont="1" applyFill="1" applyBorder="1" applyAlignment="1">
      <alignment horizontal="right" vertical="center" wrapText="1" indent="1"/>
    </xf>
    <xf numFmtId="0" fontId="9" fillId="0" borderId="0" xfId="0" applyFont="1" applyFill="1" applyBorder="1" applyAlignment="1">
      <alignment horizontal="left" vertical="center" wrapText="1"/>
    </xf>
    <xf numFmtId="3" fontId="9" fillId="0" borderId="0" xfId="0" applyNumberFormat="1" applyFont="1" applyFill="1" applyBorder="1" applyAlignment="1">
      <alignment horizontal="right" vertical="center" indent="1"/>
    </xf>
    <xf numFmtId="0" fontId="28" fillId="0" borderId="22" xfId="0" applyFont="1" applyBorder="1"/>
    <xf numFmtId="0" fontId="28" fillId="0" borderId="0" xfId="0" applyFont="1" applyBorder="1"/>
    <xf numFmtId="0" fontId="1" fillId="0" borderId="79" xfId="0" applyFont="1" applyBorder="1" applyAlignment="1">
      <alignment horizontal="center"/>
    </xf>
    <xf numFmtId="0" fontId="1" fillId="0" borderId="80" xfId="0" applyFont="1" applyBorder="1" applyAlignment="1">
      <alignment horizontal="center"/>
    </xf>
    <xf numFmtId="0" fontId="1" fillId="6" borderId="81" xfId="0" applyFont="1" applyFill="1" applyBorder="1"/>
    <xf numFmtId="0" fontId="1" fillId="6" borderId="81" xfId="0" applyFont="1" applyFill="1" applyBorder="1" applyAlignment="1">
      <alignment horizontal="center"/>
    </xf>
    <xf numFmtId="189" fontId="1" fillId="6" borderId="82" xfId="2" applyNumberFormat="1" applyFont="1" applyFill="1" applyBorder="1" applyAlignment="1">
      <alignment horizontal="right"/>
    </xf>
    <xf numFmtId="0" fontId="4" fillId="0" borderId="83" xfId="0" applyFont="1" applyBorder="1" applyAlignment="1">
      <alignment vertical="center"/>
    </xf>
    <xf numFmtId="0" fontId="11" fillId="0" borderId="63" xfId="0" applyFont="1" applyBorder="1" applyAlignment="1">
      <alignment vertical="center" wrapText="1"/>
    </xf>
    <xf numFmtId="0" fontId="77" fillId="0" borderId="22" xfId="0" applyFont="1" applyBorder="1" applyAlignment="1">
      <alignment horizontal="center"/>
    </xf>
    <xf numFmtId="189" fontId="35" fillId="0" borderId="23" xfId="2" applyNumberFormat="1" applyFont="1" applyBorder="1" applyAlignment="1">
      <alignment horizontal="right"/>
    </xf>
    <xf numFmtId="0" fontId="3" fillId="2" borderId="83" xfId="0" applyFont="1" applyFill="1" applyBorder="1" applyAlignment="1">
      <alignment vertical="center"/>
    </xf>
    <xf numFmtId="0" fontId="3" fillId="2" borderId="63" xfId="0" applyFont="1" applyFill="1" applyBorder="1" applyAlignment="1">
      <alignment horizontal="left" vertical="center"/>
    </xf>
    <xf numFmtId="3" fontId="10" fillId="2" borderId="63" xfId="2" applyNumberFormat="1" applyFont="1" applyFill="1" applyBorder="1" applyAlignment="1">
      <alignment vertical="center"/>
    </xf>
    <xf numFmtId="2" fontId="10" fillId="2" borderId="63" xfId="2" applyNumberFormat="1" applyFont="1" applyFill="1" applyBorder="1" applyAlignment="1">
      <alignment vertical="center"/>
    </xf>
    <xf numFmtId="0" fontId="77" fillId="0" borderId="0" xfId="0" applyFont="1" applyFill="1" applyBorder="1" applyAlignment="1">
      <alignment vertical="center"/>
    </xf>
    <xf numFmtId="0" fontId="11" fillId="0" borderId="38" xfId="0" applyFont="1" applyFill="1" applyBorder="1" applyAlignment="1">
      <alignment vertical="center" wrapText="1"/>
    </xf>
    <xf numFmtId="0" fontId="7" fillId="6" borderId="69" xfId="0" applyFont="1" applyFill="1" applyBorder="1" applyAlignment="1" applyProtection="1">
      <alignment vertical="center" wrapText="1"/>
      <protection locked="0"/>
    </xf>
    <xf numFmtId="0" fontId="7" fillId="6" borderId="70" xfId="0" applyFont="1" applyFill="1" applyBorder="1" applyAlignment="1" applyProtection="1">
      <alignment vertical="center" wrapText="1"/>
      <protection locked="0"/>
    </xf>
    <xf numFmtId="49" fontId="7" fillId="6" borderId="69" xfId="0" applyNumberFormat="1" applyFont="1" applyFill="1" applyBorder="1" applyAlignment="1" applyProtection="1">
      <alignment horizontal="left" vertical="center" wrapText="1"/>
      <protection locked="0"/>
    </xf>
    <xf numFmtId="49" fontId="7" fillId="6" borderId="70" xfId="0" applyNumberFormat="1" applyFont="1" applyFill="1" applyBorder="1" applyAlignment="1" applyProtection="1">
      <alignment vertical="center" wrapText="1"/>
      <protection locked="0"/>
    </xf>
    <xf numFmtId="0" fontId="7" fillId="6" borderId="71" xfId="0" applyFont="1" applyFill="1" applyBorder="1" applyAlignment="1" applyProtection="1">
      <alignment vertical="center" wrapText="1"/>
      <protection locked="0"/>
    </xf>
    <xf numFmtId="49" fontId="7" fillId="6" borderId="71" xfId="0" applyNumberFormat="1" applyFont="1" applyFill="1" applyBorder="1" applyAlignment="1" applyProtection="1">
      <alignment vertical="center" wrapText="1"/>
      <protection locked="0"/>
    </xf>
    <xf numFmtId="0" fontId="24" fillId="6" borderId="0" xfId="0" applyFont="1" applyFill="1" applyBorder="1"/>
    <xf numFmtId="0" fontId="24" fillId="6" borderId="0" xfId="0" applyFont="1" applyFill="1" applyBorder="1" applyProtection="1">
      <protection locked="0"/>
    </xf>
    <xf numFmtId="0" fontId="0" fillId="6" borderId="0" xfId="0" applyFill="1" applyBorder="1"/>
    <xf numFmtId="0" fontId="3" fillId="2" borderId="21" xfId="0" applyFont="1" applyFill="1" applyBorder="1" applyAlignment="1">
      <alignment wrapText="1"/>
    </xf>
    <xf numFmtId="0" fontId="11" fillId="0" borderId="57" xfId="0" applyFont="1" applyBorder="1" applyAlignment="1">
      <alignment horizontal="center" vertical="center" wrapText="1"/>
    </xf>
    <xf numFmtId="49" fontId="9" fillId="6" borderId="84" xfId="0" applyNumberFormat="1" applyFont="1" applyFill="1" applyBorder="1" applyAlignment="1" applyProtection="1">
      <alignment horizontal="center" vertical="center" wrapText="1"/>
      <protection locked="0"/>
    </xf>
    <xf numFmtId="49" fontId="9" fillId="6" borderId="85" xfId="0" applyNumberFormat="1" applyFont="1" applyFill="1" applyBorder="1" applyAlignment="1" applyProtection="1">
      <alignment horizontal="center" vertical="center" wrapText="1"/>
      <protection locked="0"/>
    </xf>
    <xf numFmtId="49" fontId="9" fillId="6" borderId="86" xfId="0" applyNumberFormat="1" applyFont="1" applyFill="1" applyBorder="1" applyAlignment="1" applyProtection="1">
      <alignment horizontal="center" vertical="center" wrapText="1"/>
      <protection locked="0"/>
    </xf>
    <xf numFmtId="0" fontId="12" fillId="6" borderId="84" xfId="0" applyFont="1" applyFill="1" applyBorder="1" applyAlignment="1" applyProtection="1">
      <alignment horizontal="center" vertical="center" wrapText="1"/>
      <protection locked="0"/>
    </xf>
    <xf numFmtId="0" fontId="12" fillId="6" borderId="85" xfId="0" applyFont="1" applyFill="1" applyBorder="1" applyAlignment="1" applyProtection="1">
      <alignment horizontal="center" vertical="center" wrapText="1"/>
      <protection locked="0"/>
    </xf>
    <xf numFmtId="0" fontId="12" fillId="6" borderId="86" xfId="0" applyFont="1" applyFill="1" applyBorder="1" applyAlignment="1" applyProtection="1">
      <alignment horizontal="center" vertical="center" wrapText="1"/>
      <protection locked="0"/>
    </xf>
    <xf numFmtId="0" fontId="17" fillId="0" borderId="55" xfId="0" applyFont="1" applyBorder="1" applyAlignment="1">
      <alignment horizontal="center" vertical="center" wrapText="1"/>
    </xf>
    <xf numFmtId="49" fontId="24" fillId="2" borderId="87" xfId="0" applyNumberFormat="1" applyFont="1" applyFill="1" applyBorder="1" applyAlignment="1">
      <alignment horizontal="center" vertical="center"/>
    </xf>
    <xf numFmtId="0" fontId="17" fillId="0" borderId="88" xfId="0" applyFont="1" applyBorder="1" applyAlignment="1">
      <alignment horizontal="center" vertical="center" wrapText="1"/>
    </xf>
    <xf numFmtId="49" fontId="24" fillId="2" borderId="89" xfId="0" applyNumberFormat="1" applyFont="1" applyFill="1" applyBorder="1" applyAlignment="1">
      <alignment horizontal="center" vertical="center"/>
    </xf>
    <xf numFmtId="0" fontId="78" fillId="0" borderId="0" xfId="0" applyFont="1" applyFill="1" applyBorder="1" applyAlignment="1"/>
    <xf numFmtId="1" fontId="13" fillId="6" borderId="38" xfId="0" applyNumberFormat="1" applyFont="1" applyFill="1" applyBorder="1" applyAlignment="1" applyProtection="1">
      <alignment horizontal="center" vertical="center" wrapText="1"/>
      <protection locked="0"/>
    </xf>
    <xf numFmtId="0" fontId="16" fillId="6" borderId="28" xfId="0" applyNumberFormat="1" applyFont="1" applyFill="1" applyBorder="1" applyAlignment="1" applyProtection="1">
      <alignment horizontal="center" vertical="center"/>
      <protection locked="0"/>
    </xf>
    <xf numFmtId="0" fontId="16" fillId="6" borderId="29" xfId="0" applyNumberFormat="1" applyFont="1" applyFill="1" applyBorder="1" applyAlignment="1" applyProtection="1">
      <alignment horizontal="center" vertical="center"/>
      <protection locked="0"/>
    </xf>
    <xf numFmtId="0" fontId="3" fillId="0" borderId="0" xfId="0" applyFont="1" applyFill="1" applyAlignment="1">
      <alignment wrapText="1"/>
    </xf>
    <xf numFmtId="0" fontId="2" fillId="2" borderId="0" xfId="0" applyFont="1" applyFill="1"/>
    <xf numFmtId="0" fontId="15" fillId="2" borderId="0" xfId="0" applyFont="1" applyFill="1"/>
    <xf numFmtId="0" fontId="7" fillId="2" borderId="0" xfId="0" applyFont="1" applyFill="1"/>
    <xf numFmtId="0" fontId="76" fillId="0" borderId="0" xfId="0" applyFont="1" applyFill="1" applyBorder="1" applyAlignment="1">
      <alignment horizontal="left"/>
    </xf>
    <xf numFmtId="0" fontId="8" fillId="0" borderId="20" xfId="0" applyFont="1" applyBorder="1"/>
    <xf numFmtId="0" fontId="8" fillId="0" borderId="0" xfId="0" applyFont="1" applyBorder="1"/>
    <xf numFmtId="0" fontId="12" fillId="0" borderId="90" xfId="0" applyFont="1" applyBorder="1" applyAlignment="1">
      <alignment vertical="center" wrapText="1"/>
    </xf>
    <xf numFmtId="0" fontId="17" fillId="0" borderId="67" xfId="0" applyFont="1" applyBorder="1" applyAlignment="1">
      <alignment horizontal="center" vertical="center" wrapText="1"/>
    </xf>
    <xf numFmtId="0" fontId="39" fillId="0" borderId="0" xfId="0" applyFont="1" applyFill="1" applyAlignment="1">
      <alignment horizontal="center"/>
    </xf>
    <xf numFmtId="0" fontId="76" fillId="15" borderId="91" xfId="0" applyFont="1" applyFill="1" applyBorder="1"/>
    <xf numFmtId="49" fontId="15" fillId="15" borderId="92" xfId="0" applyNumberFormat="1" applyFont="1" applyFill="1" applyBorder="1" applyAlignment="1">
      <alignment horizontal="left" vertical="top" wrapText="1"/>
    </xf>
    <xf numFmtId="49" fontId="15" fillId="15" borderId="93" xfId="0" applyNumberFormat="1" applyFont="1" applyFill="1" applyBorder="1" applyAlignment="1">
      <alignment horizontal="left" vertical="top" wrapText="1"/>
    </xf>
    <xf numFmtId="0" fontId="15" fillId="0" borderId="0" xfId="0" applyFont="1" applyFill="1" applyBorder="1" applyAlignment="1"/>
    <xf numFmtId="0" fontId="15" fillId="0" borderId="0" xfId="0" applyFont="1" applyFill="1" applyAlignment="1"/>
    <xf numFmtId="0" fontId="88" fillId="0" borderId="0" xfId="0" applyFont="1" applyFill="1"/>
    <xf numFmtId="0" fontId="2" fillId="6" borderId="69" xfId="0" applyFont="1" applyFill="1" applyBorder="1" applyAlignment="1" applyProtection="1">
      <alignment vertical="center" wrapText="1"/>
      <protection locked="0"/>
    </xf>
    <xf numFmtId="0" fontId="2" fillId="6" borderId="71" xfId="0" applyFont="1" applyFill="1" applyBorder="1" applyAlignment="1" applyProtection="1">
      <alignment vertical="center" wrapText="1"/>
      <protection locked="0"/>
    </xf>
    <xf numFmtId="0" fontId="97" fillId="0" borderId="0" xfId="0" applyFont="1" applyFill="1" applyBorder="1" applyAlignment="1"/>
    <xf numFmtId="0" fontId="97" fillId="0" borderId="0" xfId="0" applyFont="1" applyFill="1" applyBorder="1" applyAlignment="1" applyProtection="1"/>
    <xf numFmtId="0" fontId="98" fillId="0" borderId="0" xfId="0" applyFont="1" applyFill="1" applyBorder="1" applyAlignment="1"/>
    <xf numFmtId="0" fontId="82" fillId="0" borderId="0" xfId="0" applyFont="1"/>
    <xf numFmtId="0" fontId="0" fillId="6" borderId="94" xfId="0" applyFont="1" applyFill="1" applyBorder="1" applyAlignment="1">
      <alignment horizontal="center"/>
    </xf>
    <xf numFmtId="0" fontId="7" fillId="6" borderId="94" xfId="0" applyFont="1" applyFill="1" applyBorder="1"/>
    <xf numFmtId="0" fontId="77" fillId="0" borderId="63" xfId="0" applyFont="1" applyBorder="1"/>
    <xf numFmtId="0" fontId="77" fillId="0" borderId="63" xfId="0" applyFont="1" applyBorder="1" applyAlignment="1">
      <alignment horizontal="center"/>
    </xf>
    <xf numFmtId="0" fontId="1" fillId="6" borderId="95" xfId="4" applyNumberFormat="1" applyFont="1" applyFill="1" applyBorder="1" applyAlignment="1">
      <alignment horizontal="right"/>
    </xf>
    <xf numFmtId="3" fontId="1" fillId="6" borderId="66" xfId="4" applyNumberFormat="1" applyFont="1" applyFill="1" applyBorder="1" applyAlignment="1">
      <alignment horizontal="right"/>
    </xf>
    <xf numFmtId="222" fontId="1" fillId="6" borderId="65" xfId="2" applyNumberFormat="1" applyFont="1" applyFill="1" applyBorder="1" applyAlignment="1"/>
    <xf numFmtId="222" fontId="1" fillId="6" borderId="96" xfId="2" applyNumberFormat="1" applyFont="1" applyFill="1" applyBorder="1" applyAlignment="1"/>
    <xf numFmtId="0" fontId="13" fillId="0" borderId="0" xfId="0" applyFont="1" applyFill="1" applyBorder="1" applyAlignment="1">
      <alignment horizontal="center"/>
    </xf>
    <xf numFmtId="0" fontId="11" fillId="0" borderId="64" xfId="0" applyFont="1" applyBorder="1" applyAlignment="1">
      <alignment vertical="center" wrapText="1"/>
    </xf>
    <xf numFmtId="4" fontId="11" fillId="9" borderId="53" xfId="0" applyNumberFormat="1" applyFont="1" applyFill="1" applyBorder="1" applyAlignment="1">
      <alignment horizontal="center" vertical="center" wrapText="1"/>
    </xf>
    <xf numFmtId="0" fontId="11" fillId="0" borderId="97" xfId="0" applyFont="1" applyBorder="1" applyAlignment="1">
      <alignment horizontal="center" vertical="center" wrapText="1"/>
    </xf>
    <xf numFmtId="49" fontId="11" fillId="6" borderId="97" xfId="0" applyNumberFormat="1" applyFont="1" applyFill="1" applyBorder="1" applyAlignment="1" applyProtection="1">
      <alignment horizontal="center" vertical="center"/>
      <protection locked="0"/>
    </xf>
    <xf numFmtId="4" fontId="11" fillId="9" borderId="97" xfId="0" applyNumberFormat="1" applyFont="1" applyFill="1" applyBorder="1" applyAlignment="1">
      <alignment horizontal="center" vertical="center" wrapText="1"/>
    </xf>
    <xf numFmtId="49" fontId="24" fillId="2" borderId="57" xfId="0" applyNumberFormat="1" applyFont="1" applyFill="1" applyBorder="1" applyAlignment="1">
      <alignment horizontal="center" vertical="center"/>
    </xf>
    <xf numFmtId="0" fontId="11" fillId="0" borderId="38" xfId="0" applyFont="1" applyFill="1" applyBorder="1" applyAlignment="1" applyProtection="1">
      <alignment vertical="center" wrapText="1"/>
      <protection locked="0"/>
    </xf>
    <xf numFmtId="0" fontId="11" fillId="0" borderId="29" xfId="0" applyFont="1" applyFill="1" applyBorder="1" applyAlignment="1" applyProtection="1">
      <alignment horizontal="center" vertical="center" wrapText="1"/>
      <protection locked="0"/>
    </xf>
    <xf numFmtId="4" fontId="11" fillId="0" borderId="29" xfId="0" applyNumberFormat="1" applyFont="1" applyFill="1" applyBorder="1" applyAlignment="1" applyProtection="1">
      <alignment horizontal="center" vertical="center" wrapText="1"/>
      <protection locked="0"/>
    </xf>
    <xf numFmtId="14" fontId="13" fillId="4" borderId="17" xfId="0" applyNumberFormat="1" applyFont="1" applyFill="1" applyBorder="1" applyAlignment="1">
      <alignment horizontal="center"/>
    </xf>
    <xf numFmtId="0" fontId="21" fillId="0" borderId="75" xfId="0" applyNumberFormat="1" applyFont="1" applyFill="1" applyBorder="1" applyAlignment="1">
      <alignment horizontal="right" vertical="center" wrapText="1" indent="1"/>
    </xf>
    <xf numFmtId="0" fontId="11" fillId="6" borderId="28" xfId="0" applyFont="1" applyFill="1" applyBorder="1" applyAlignment="1" applyProtection="1">
      <alignment horizontal="center" vertical="center"/>
      <protection locked="0"/>
    </xf>
    <xf numFmtId="0" fontId="11" fillId="6" borderId="29" xfId="0" applyFont="1" applyFill="1" applyBorder="1" applyAlignment="1" applyProtection="1">
      <alignment horizontal="center" vertical="center"/>
      <protection locked="0"/>
    </xf>
    <xf numFmtId="0" fontId="4" fillId="2" borderId="21" xfId="0" applyFont="1" applyFill="1" applyBorder="1" applyAlignment="1">
      <alignment vertical="center" wrapText="1"/>
    </xf>
    <xf numFmtId="0" fontId="7" fillId="2" borderId="18" xfId="0" applyFont="1" applyFill="1" applyBorder="1" applyAlignment="1">
      <alignment horizontal="center" vertical="center"/>
    </xf>
    <xf numFmtId="0" fontId="9" fillId="2" borderId="98" xfId="0" applyFont="1" applyFill="1" applyBorder="1" applyAlignment="1">
      <alignment vertical="center" wrapText="1"/>
    </xf>
    <xf numFmtId="0" fontId="0" fillId="19" borderId="15" xfId="0" applyFill="1" applyBorder="1"/>
    <xf numFmtId="1" fontId="74" fillId="0" borderId="0" xfId="0" applyNumberFormat="1" applyFont="1"/>
    <xf numFmtId="0" fontId="3" fillId="0" borderId="0" xfId="0" applyFont="1"/>
    <xf numFmtId="191" fontId="74" fillId="0" borderId="0" xfId="0" applyNumberFormat="1" applyFont="1" applyAlignment="1">
      <alignment horizontal="left"/>
    </xf>
    <xf numFmtId="0" fontId="100" fillId="0" borderId="0" xfId="0" applyFont="1"/>
    <xf numFmtId="0" fontId="101" fillId="0" borderId="0" xfId="0" applyFont="1" applyFill="1"/>
    <xf numFmtId="0" fontId="60" fillId="0" borderId="0" xfId="0" applyFont="1" applyAlignment="1">
      <alignment horizontal="left"/>
    </xf>
    <xf numFmtId="0" fontId="11" fillId="0" borderId="58" xfId="0" applyFont="1" applyBorder="1" applyAlignment="1">
      <alignment horizontal="center" vertical="center" wrapText="1"/>
    </xf>
    <xf numFmtId="3" fontId="9" fillId="6" borderId="85" xfId="0" applyNumberFormat="1" applyFont="1" applyFill="1" applyBorder="1" applyAlignment="1" applyProtection="1">
      <alignment horizontal="center" vertical="center" wrapText="1"/>
      <protection locked="0"/>
    </xf>
    <xf numFmtId="0" fontId="3" fillId="2" borderId="83" xfId="0" applyFont="1" applyFill="1" applyBorder="1" applyAlignment="1">
      <alignment vertical="center" wrapText="1"/>
    </xf>
    <xf numFmtId="0" fontId="3" fillId="2" borderId="63" xfId="0" applyFont="1" applyFill="1" applyBorder="1" applyAlignment="1">
      <alignment vertical="center" wrapText="1"/>
    </xf>
    <xf numFmtId="0" fontId="3" fillId="2" borderId="1" xfId="0" applyFont="1" applyFill="1" applyBorder="1" applyAlignment="1">
      <alignment vertical="center" wrapText="1"/>
    </xf>
    <xf numFmtId="4" fontId="7" fillId="2" borderId="99" xfId="0" applyNumberFormat="1" applyFont="1" applyFill="1" applyBorder="1" applyAlignment="1">
      <alignment horizontal="center" vertical="center" wrapText="1"/>
    </xf>
    <xf numFmtId="0" fontId="7" fillId="2" borderId="15" xfId="0" applyFont="1" applyFill="1" applyBorder="1"/>
    <xf numFmtId="0" fontId="12" fillId="2" borderId="91" xfId="0" applyFont="1" applyFill="1" applyBorder="1" applyAlignment="1">
      <alignment horizontal="center" vertical="center" wrapText="1"/>
    </xf>
    <xf numFmtId="0" fontId="12" fillId="2" borderId="93" xfId="0" applyFont="1" applyFill="1" applyBorder="1" applyAlignment="1">
      <alignment horizontal="center" vertical="center" wrapText="1"/>
    </xf>
    <xf numFmtId="3" fontId="7" fillId="2" borderId="62" xfId="0" applyNumberFormat="1" applyFont="1" applyFill="1" applyBorder="1" applyAlignment="1">
      <alignment horizontal="right" vertical="center" wrapText="1" indent="1"/>
    </xf>
    <xf numFmtId="0" fontId="12" fillId="0" borderId="65" xfId="0" applyFont="1" applyBorder="1" applyAlignment="1">
      <alignment horizontal="center" vertical="center" wrapText="1"/>
    </xf>
    <xf numFmtId="0" fontId="11" fillId="15" borderId="100" xfId="0" applyFont="1" applyFill="1" applyBorder="1" applyAlignment="1" applyProtection="1">
      <alignment horizontal="left" vertical="center" wrapText="1" indent="1"/>
      <protection locked="0"/>
    </xf>
    <xf numFmtId="3" fontId="9" fillId="2" borderId="15" xfId="0" applyNumberFormat="1" applyFont="1" applyFill="1" applyBorder="1" applyAlignment="1">
      <alignment horizontal="center" vertical="center" wrapText="1"/>
    </xf>
    <xf numFmtId="3" fontId="12" fillId="6" borderId="85" xfId="0" applyNumberFormat="1" applyFont="1" applyFill="1" applyBorder="1" applyAlignment="1" applyProtection="1">
      <alignment horizontal="center" vertical="center" wrapText="1"/>
      <protection locked="0"/>
    </xf>
    <xf numFmtId="3" fontId="12" fillId="6" borderId="86" xfId="0" applyNumberFormat="1" applyFont="1" applyFill="1" applyBorder="1" applyAlignment="1" applyProtection="1">
      <alignment horizontal="center" vertical="center" wrapText="1"/>
      <protection locked="0"/>
    </xf>
    <xf numFmtId="0" fontId="9" fillId="2" borderId="15" xfId="0" applyFont="1" applyFill="1" applyBorder="1" applyAlignment="1">
      <alignment horizontal="center" vertical="center" wrapText="1"/>
    </xf>
    <xf numFmtId="4" fontId="24" fillId="6" borderId="85" xfId="0" applyNumberFormat="1" applyFont="1" applyFill="1" applyBorder="1" applyAlignment="1" applyProtection="1">
      <alignment horizontal="center" vertical="center"/>
      <protection locked="0"/>
    </xf>
    <xf numFmtId="4" fontId="24" fillId="6" borderId="86" xfId="0" applyNumberFormat="1" applyFont="1" applyFill="1" applyBorder="1" applyAlignment="1" applyProtection="1">
      <alignment horizontal="center" vertical="center"/>
      <protection locked="0"/>
    </xf>
    <xf numFmtId="3" fontId="0" fillId="0" borderId="0" xfId="0" applyNumberFormat="1"/>
    <xf numFmtId="4" fontId="27" fillId="0" borderId="67" xfId="0" applyNumberFormat="1" applyFont="1" applyBorder="1" applyAlignment="1">
      <alignment horizontal="center"/>
    </xf>
    <xf numFmtId="4" fontId="43" fillId="0" borderId="67" xfId="0" applyNumberFormat="1" applyFont="1" applyBorder="1" applyAlignment="1">
      <alignment horizontal="center"/>
    </xf>
    <xf numFmtId="4" fontId="17" fillId="0" borderId="67" xfId="0" applyNumberFormat="1" applyFont="1" applyBorder="1" applyAlignment="1">
      <alignment horizontal="center"/>
    </xf>
    <xf numFmtId="4" fontId="17" fillId="0" borderId="28" xfId="0" applyNumberFormat="1" applyFont="1" applyBorder="1" applyAlignment="1">
      <alignment horizontal="center"/>
    </xf>
    <xf numFmtId="4" fontId="17" fillId="0" borderId="28" xfId="0" applyNumberFormat="1" applyFont="1" applyFill="1" applyBorder="1" applyAlignment="1">
      <alignment horizontal="center"/>
    </xf>
    <xf numFmtId="4" fontId="0" fillId="0" borderId="0" xfId="0" applyNumberFormat="1" applyFill="1"/>
    <xf numFmtId="4" fontId="17" fillId="0" borderId="0" xfId="0" applyNumberFormat="1" applyFont="1" applyFill="1" applyBorder="1" applyAlignment="1">
      <alignment horizontal="center"/>
    </xf>
    <xf numFmtId="4" fontId="27" fillId="0" borderId="0" xfId="0" applyNumberFormat="1" applyFont="1" applyBorder="1" applyAlignment="1">
      <alignment horizontal="center"/>
    </xf>
    <xf numFmtId="4" fontId="17" fillId="0" borderId="0" xfId="0" applyNumberFormat="1" applyFont="1" applyBorder="1" applyAlignment="1">
      <alignment horizontal="center"/>
    </xf>
    <xf numFmtId="4" fontId="0" fillId="0" borderId="0" xfId="2" applyNumberFormat="1" applyFont="1"/>
    <xf numFmtId="4" fontId="0" fillId="0" borderId="0" xfId="0" applyNumberFormat="1" applyBorder="1"/>
    <xf numFmtId="4" fontId="11" fillId="0" borderId="0" xfId="2" applyNumberFormat="1" applyFont="1" applyFill="1" applyBorder="1" applyAlignment="1">
      <alignment horizontal="center"/>
    </xf>
    <xf numFmtId="4" fontId="17" fillId="0" borderId="0" xfId="0" applyNumberFormat="1" applyFont="1" applyAlignment="1">
      <alignment horizontal="center"/>
    </xf>
    <xf numFmtId="4" fontId="106" fillId="19" borderId="62" xfId="0" applyNumberFormat="1" applyFont="1" applyFill="1" applyBorder="1" applyAlignment="1">
      <alignment horizontal="right" vertical="center" wrapText="1" indent="1"/>
    </xf>
    <xf numFmtId="4" fontId="107" fillId="19" borderId="11" xfId="0" applyNumberFormat="1" applyFont="1" applyFill="1" applyBorder="1" applyAlignment="1">
      <alignment horizontal="right" vertical="center" wrapText="1" indent="1"/>
    </xf>
    <xf numFmtId="0" fontId="11" fillId="2" borderId="15" xfId="0" applyFont="1" applyFill="1" applyBorder="1" applyAlignment="1">
      <alignment horizontal="center" vertical="center" wrapText="1"/>
    </xf>
    <xf numFmtId="4" fontId="12" fillId="2" borderId="68" xfId="0" applyNumberFormat="1" applyFont="1" applyFill="1" applyBorder="1" applyAlignment="1">
      <alignment horizontal="center" vertical="center" wrapText="1"/>
    </xf>
    <xf numFmtId="0" fontId="11" fillId="15" borderId="101" xfId="0" applyFont="1" applyFill="1" applyBorder="1" applyAlignment="1" applyProtection="1">
      <alignment horizontal="left" vertical="center" wrapText="1" indent="1"/>
      <protection locked="0"/>
    </xf>
    <xf numFmtId="3" fontId="12" fillId="6" borderId="102" xfId="0" applyNumberFormat="1" applyFont="1" applyFill="1" applyBorder="1" applyAlignment="1" applyProtection="1">
      <alignment horizontal="center" vertical="center" wrapText="1"/>
      <protection locked="0"/>
    </xf>
    <xf numFmtId="0" fontId="12" fillId="0" borderId="96" xfId="0" applyFont="1" applyBorder="1" applyAlignment="1">
      <alignment horizontal="center" vertical="center" wrapText="1"/>
    </xf>
    <xf numFmtId="4" fontId="24" fillId="6" borderId="102" xfId="0" applyNumberFormat="1" applyFont="1" applyFill="1" applyBorder="1" applyAlignment="1" applyProtection="1">
      <alignment horizontal="center" vertical="center"/>
      <protection locked="0"/>
    </xf>
    <xf numFmtId="4" fontId="12" fillId="2" borderId="99" xfId="0" applyNumberFormat="1" applyFont="1" applyFill="1" applyBorder="1" applyAlignment="1">
      <alignment horizontal="center" vertical="center" wrapText="1"/>
    </xf>
    <xf numFmtId="222" fontId="102" fillId="19" borderId="99" xfId="2" applyNumberFormat="1" applyFont="1" applyFill="1" applyBorder="1" applyAlignment="1">
      <alignment vertical="center"/>
    </xf>
    <xf numFmtId="189" fontId="102" fillId="19" borderId="68" xfId="2" applyNumberFormat="1" applyFont="1" applyFill="1" applyBorder="1" applyAlignment="1">
      <alignment vertical="center"/>
    </xf>
    <xf numFmtId="49" fontId="108" fillId="0" borderId="67" xfId="0" applyNumberFormat="1" applyFont="1" applyBorder="1" applyAlignment="1">
      <alignment horizontal="center"/>
    </xf>
    <xf numFmtId="0" fontId="13" fillId="20" borderId="0" xfId="0" applyFont="1" applyFill="1" applyBorder="1" applyAlignment="1">
      <alignment horizontal="center"/>
    </xf>
    <xf numFmtId="49" fontId="12" fillId="7" borderId="67" xfId="0" applyNumberFormat="1" applyFont="1" applyFill="1" applyBorder="1" applyAlignment="1">
      <alignment horizontal="center" vertical="center" wrapText="1"/>
    </xf>
    <xf numFmtId="49" fontId="12" fillId="7" borderId="62" xfId="0" applyNumberFormat="1" applyFont="1" applyFill="1" applyBorder="1" applyAlignment="1">
      <alignment horizontal="center" vertical="center" wrapText="1"/>
    </xf>
    <xf numFmtId="1" fontId="109" fillId="0" borderId="90" xfId="0" applyNumberFormat="1" applyFont="1" applyFill="1" applyBorder="1" applyAlignment="1">
      <alignment horizontal="center" vertical="center" wrapText="1"/>
    </xf>
    <xf numFmtId="0" fontId="11" fillId="2" borderId="67" xfId="0" applyFont="1" applyFill="1" applyBorder="1" applyAlignment="1">
      <alignment horizontal="center" vertical="center" wrapText="1"/>
    </xf>
    <xf numFmtId="0" fontId="17" fillId="2" borderId="67" xfId="0" applyFont="1" applyFill="1" applyBorder="1" applyAlignment="1">
      <alignment vertical="top" wrapText="1"/>
    </xf>
    <xf numFmtId="4" fontId="12" fillId="2" borderId="67" xfId="0" applyNumberFormat="1" applyFont="1" applyFill="1" applyBorder="1" applyAlignment="1">
      <alignment horizontal="center" vertical="center" wrapText="1"/>
    </xf>
    <xf numFmtId="1" fontId="109" fillId="0" borderId="36" xfId="0" applyNumberFormat="1" applyFont="1" applyFill="1" applyBorder="1" applyAlignment="1">
      <alignment horizontal="center" vertical="center" wrapText="1"/>
    </xf>
    <xf numFmtId="4" fontId="17" fillId="0" borderId="0" xfId="0" applyNumberFormat="1" applyFont="1" applyBorder="1" applyAlignment="1">
      <alignment horizontal="left"/>
    </xf>
    <xf numFmtId="0" fontId="104" fillId="0" borderId="0" xfId="0" applyFont="1"/>
    <xf numFmtId="4" fontId="27" fillId="20" borderId="67" xfId="0" applyNumberFormat="1" applyFont="1" applyFill="1" applyBorder="1" applyAlignment="1">
      <alignment horizontal="center"/>
    </xf>
    <xf numFmtId="43" fontId="25" fillId="0" borderId="0" xfId="2" applyFont="1" applyAlignment="1"/>
    <xf numFmtId="4" fontId="27" fillId="0" borderId="67" xfId="0" applyNumberFormat="1" applyFont="1" applyFill="1" applyBorder="1" applyAlignment="1">
      <alignment horizontal="center"/>
    </xf>
    <xf numFmtId="43" fontId="19" fillId="0" borderId="0" xfId="2" applyFont="1" applyAlignment="1"/>
    <xf numFmtId="0" fontId="11" fillId="4" borderId="0" xfId="0" applyFont="1" applyFill="1" applyBorder="1"/>
    <xf numFmtId="4" fontId="11" fillId="0" borderId="0" xfId="0" applyNumberFormat="1" applyFont="1"/>
    <xf numFmtId="0" fontId="13" fillId="4" borderId="2" xfId="0" applyFont="1" applyFill="1" applyBorder="1"/>
    <xf numFmtId="0" fontId="11" fillId="4" borderId="2" xfId="0" applyFont="1" applyFill="1" applyBorder="1"/>
    <xf numFmtId="222" fontId="102" fillId="19" borderId="62" xfId="2" applyNumberFormat="1" applyFont="1" applyFill="1" applyBorder="1" applyAlignment="1">
      <alignment horizontal="right" vertical="center"/>
    </xf>
    <xf numFmtId="222" fontId="102" fillId="19" borderId="32" xfId="2" applyNumberFormat="1" applyFont="1" applyFill="1" applyBorder="1" applyAlignment="1">
      <alignment vertical="center"/>
    </xf>
    <xf numFmtId="0" fontId="24" fillId="6" borderId="26" xfId="0" applyFont="1" applyFill="1" applyBorder="1" applyAlignment="1" applyProtection="1">
      <alignment horizontal="center" vertical="center"/>
      <protection locked="0"/>
    </xf>
    <xf numFmtId="0" fontId="24" fillId="6" borderId="28" xfId="0" applyFont="1" applyFill="1" applyBorder="1" applyAlignment="1" applyProtection="1">
      <alignment horizontal="center" vertical="center"/>
      <protection locked="0"/>
    </xf>
    <xf numFmtId="0" fontId="24" fillId="6" borderId="29" xfId="0" applyFont="1" applyFill="1" applyBorder="1" applyAlignment="1" applyProtection="1">
      <alignment horizontal="center" vertical="center"/>
      <protection locked="0"/>
    </xf>
    <xf numFmtId="43" fontId="12" fillId="0" borderId="0" xfId="2" applyFont="1"/>
    <xf numFmtId="0" fontId="11" fillId="0" borderId="28" xfId="0" applyFont="1" applyFill="1" applyBorder="1" applyAlignment="1">
      <alignment horizontal="center" vertical="center" wrapText="1"/>
    </xf>
    <xf numFmtId="4" fontId="11" fillId="0" borderId="28" xfId="0" applyNumberFormat="1" applyFont="1" applyFill="1" applyBorder="1" applyAlignment="1" applyProtection="1">
      <alignment horizontal="center" vertical="center" wrapText="1"/>
      <protection locked="0"/>
    </xf>
    <xf numFmtId="0" fontId="13" fillId="4" borderId="4" xfId="0" applyFont="1" applyFill="1" applyBorder="1" applyAlignment="1">
      <alignment horizontal="center"/>
    </xf>
    <xf numFmtId="0" fontId="17" fillId="0" borderId="0" xfId="0" applyFont="1" applyFill="1" applyAlignment="1">
      <alignment horizontal="left"/>
    </xf>
    <xf numFmtId="0" fontId="13" fillId="0" borderId="0" xfId="0" applyFont="1" applyFill="1" applyAlignment="1">
      <alignment wrapText="1"/>
    </xf>
    <xf numFmtId="49" fontId="9" fillId="6" borderId="102" xfId="0" applyNumberFormat="1" applyFont="1" applyFill="1" applyBorder="1" applyAlignment="1" applyProtection="1">
      <alignment horizontal="center" vertical="center" wrapText="1"/>
      <protection locked="0"/>
    </xf>
    <xf numFmtId="4" fontId="11" fillId="0" borderId="0" xfId="0" applyNumberFormat="1" applyFont="1" applyAlignment="1">
      <alignment horizontal="right" vertical="center"/>
    </xf>
    <xf numFmtId="4" fontId="17" fillId="20" borderId="67" xfId="0" applyNumberFormat="1" applyFont="1" applyFill="1" applyBorder="1" applyAlignment="1">
      <alignment horizontal="center"/>
    </xf>
    <xf numFmtId="4" fontId="17" fillId="0" borderId="67" xfId="0" applyNumberFormat="1" applyFont="1" applyFill="1" applyBorder="1" applyAlignment="1">
      <alignment horizontal="center"/>
    </xf>
    <xf numFmtId="222" fontId="110" fillId="0" borderId="11" xfId="2" applyNumberFormat="1" applyFont="1" applyBorder="1" applyAlignment="1">
      <alignment vertical="center"/>
    </xf>
    <xf numFmtId="4" fontId="19" fillId="0" borderId="58" xfId="0" applyNumberFormat="1" applyFont="1" applyBorder="1" applyAlignment="1">
      <alignment horizontal="center"/>
    </xf>
    <xf numFmtId="4" fontId="27" fillId="20" borderId="28" xfId="0" applyNumberFormat="1" applyFont="1" applyFill="1" applyBorder="1" applyAlignment="1">
      <alignment horizontal="center"/>
    </xf>
    <xf numFmtId="4" fontId="11" fillId="0" borderId="0" xfId="0" applyNumberFormat="1" applyFont="1" applyAlignment="1">
      <alignment horizontal="center"/>
    </xf>
    <xf numFmtId="0" fontId="11" fillId="0" borderId="32" xfId="0" applyFont="1" applyBorder="1" applyAlignment="1">
      <alignment horizontal="center" vertical="center" wrapText="1"/>
    </xf>
    <xf numFmtId="0" fontId="12" fillId="0" borderId="50" xfId="0" applyFont="1" applyBorder="1" applyAlignment="1">
      <alignment vertical="center" wrapText="1"/>
    </xf>
    <xf numFmtId="4" fontId="7" fillId="2" borderId="103" xfId="0" applyNumberFormat="1" applyFont="1" applyFill="1" applyBorder="1" applyAlignment="1">
      <alignment horizontal="center" vertical="center" wrapText="1"/>
    </xf>
    <xf numFmtId="3" fontId="7" fillId="2" borderId="104" xfId="0" applyNumberFormat="1" applyFont="1" applyFill="1" applyBorder="1" applyAlignment="1">
      <alignment horizontal="right" vertical="center" wrapText="1" indent="1"/>
    </xf>
    <xf numFmtId="0" fontId="11" fillId="0" borderId="0" xfId="0" applyFont="1" applyAlignment="1">
      <alignment horizontal="center"/>
    </xf>
    <xf numFmtId="0" fontId="2" fillId="0" borderId="12" xfId="0" applyFont="1" applyBorder="1" applyAlignment="1">
      <alignment horizontal="center"/>
    </xf>
    <xf numFmtId="0" fontId="2" fillId="0" borderId="14" xfId="0" applyFont="1" applyBorder="1" applyAlignment="1">
      <alignment horizontal="center"/>
    </xf>
    <xf numFmtId="0" fontId="2" fillId="0" borderId="1" xfId="0" applyFont="1" applyFill="1" applyBorder="1" applyAlignment="1">
      <alignment vertical="top" wrapText="1"/>
    </xf>
    <xf numFmtId="0" fontId="2" fillId="0" borderId="11" xfId="0" applyFont="1" applyBorder="1"/>
    <xf numFmtId="0" fontId="46" fillId="0" borderId="11" xfId="0" applyFont="1" applyFill="1" applyBorder="1" applyAlignment="1">
      <alignment vertical="top" wrapText="1"/>
    </xf>
    <xf numFmtId="0" fontId="12" fillId="0" borderId="105" xfId="0" applyFont="1" applyBorder="1" applyAlignment="1">
      <alignment vertical="center" wrapText="1"/>
    </xf>
    <xf numFmtId="0" fontId="11" fillId="0" borderId="106" xfId="0" applyFont="1" applyBorder="1" applyAlignment="1">
      <alignment horizontal="center" vertical="center" wrapText="1"/>
    </xf>
    <xf numFmtId="3" fontId="9" fillId="6" borderId="107" xfId="0" applyNumberFormat="1" applyFont="1" applyFill="1" applyBorder="1" applyAlignment="1" applyProtection="1">
      <alignment horizontal="center" vertical="center" wrapText="1"/>
      <protection locked="0"/>
    </xf>
    <xf numFmtId="189" fontId="102" fillId="19" borderId="108" xfId="2" applyNumberFormat="1" applyFont="1" applyFill="1" applyBorder="1" applyAlignment="1">
      <alignment vertical="center"/>
    </xf>
    <xf numFmtId="222" fontId="102" fillId="19" borderId="78" xfId="2" applyNumberFormat="1" applyFont="1" applyFill="1" applyBorder="1" applyAlignment="1">
      <alignment vertical="center"/>
    </xf>
    <xf numFmtId="3" fontId="4" fillId="2" borderId="109" xfId="0" applyNumberFormat="1" applyFont="1" applyFill="1" applyBorder="1" applyAlignment="1">
      <alignment horizontal="center" vertical="center" wrapText="1"/>
    </xf>
    <xf numFmtId="49" fontId="9" fillId="6" borderId="107" xfId="0" applyNumberFormat="1" applyFont="1" applyFill="1" applyBorder="1" applyAlignment="1" applyProtection="1">
      <alignment horizontal="center" vertical="center" wrapText="1"/>
      <protection locked="0"/>
    </xf>
    <xf numFmtId="4" fontId="7" fillId="2" borderId="110" xfId="0" applyNumberFormat="1" applyFont="1" applyFill="1" applyBorder="1" applyAlignment="1">
      <alignment horizontal="center" vertical="center" wrapText="1"/>
    </xf>
    <xf numFmtId="3" fontId="7" fillId="2" borderId="111" xfId="0" applyNumberFormat="1" applyFont="1" applyFill="1" applyBorder="1" applyAlignment="1">
      <alignment horizontal="right" vertical="center" wrapText="1" indent="1"/>
    </xf>
    <xf numFmtId="3" fontId="9" fillId="6" borderId="102" xfId="0" applyNumberFormat="1" applyFont="1" applyFill="1" applyBorder="1" applyAlignment="1" applyProtection="1">
      <alignment horizontal="center" vertical="center" wrapText="1"/>
      <protection locked="0"/>
    </xf>
    <xf numFmtId="0" fontId="4" fillId="2" borderId="15" xfId="0" applyFont="1" applyFill="1" applyBorder="1" applyAlignment="1">
      <alignment vertical="center" wrapText="1"/>
    </xf>
    <xf numFmtId="0" fontId="7" fillId="0" borderId="0" xfId="0" applyFont="1" applyAlignment="1">
      <alignment horizontal="right" indent="2"/>
    </xf>
    <xf numFmtId="0" fontId="11" fillId="0" borderId="112"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111" xfId="0" applyFont="1" applyBorder="1" applyAlignment="1">
      <alignment horizontal="center" vertical="center" wrapText="1"/>
    </xf>
    <xf numFmtId="0" fontId="7" fillId="0" borderId="0" xfId="0" applyFont="1" applyAlignment="1">
      <alignment horizontal="right"/>
    </xf>
    <xf numFmtId="43" fontId="21" fillId="0" borderId="0" xfId="2" applyFont="1"/>
    <xf numFmtId="43" fontId="21" fillId="0" borderId="0" xfId="2" applyFont="1" applyAlignment="1">
      <alignment horizontal="center"/>
    </xf>
    <xf numFmtId="43" fontId="19" fillId="0" borderId="0" xfId="2" applyFont="1" applyAlignment="1">
      <alignment horizontal="center"/>
    </xf>
    <xf numFmtId="0" fontId="13" fillId="0" borderId="0" xfId="0" applyFont="1" applyAlignment="1">
      <alignment horizontal="right" vertical="center"/>
    </xf>
    <xf numFmtId="0" fontId="2" fillId="2" borderId="0" xfId="0" applyFont="1" applyFill="1" applyAlignment="1">
      <alignment horizontal="left" wrapText="1"/>
    </xf>
    <xf numFmtId="0" fontId="13" fillId="6" borderId="0" xfId="0" applyFont="1" applyFill="1" applyBorder="1" applyAlignment="1">
      <alignment horizontal="left"/>
    </xf>
    <xf numFmtId="14" fontId="74" fillId="0" borderId="0" xfId="0" applyNumberFormat="1" applyFont="1" applyFill="1" applyBorder="1" applyAlignment="1">
      <alignment horizontal="left"/>
    </xf>
    <xf numFmtId="0" fontId="40" fillId="0" borderId="0" xfId="0" applyFont="1" applyFill="1" applyAlignment="1">
      <alignment horizontal="left"/>
    </xf>
    <xf numFmtId="0" fontId="13" fillId="6" borderId="0" xfId="0" applyFont="1" applyFill="1" applyBorder="1" applyAlignment="1" applyProtection="1">
      <alignment horizontal="left" vertical="center" wrapText="1"/>
      <protection locked="0"/>
    </xf>
    <xf numFmtId="0" fontId="35" fillId="0" borderId="0" xfId="0" applyFont="1" applyAlignment="1">
      <alignment horizontal="left" vertical="center"/>
    </xf>
    <xf numFmtId="0" fontId="0" fillId="0" borderId="0" xfId="0" applyAlignment="1">
      <alignment horizontal="left" vertical="center"/>
    </xf>
    <xf numFmtId="0" fontId="57" fillId="6" borderId="0" xfId="0" applyFont="1" applyFill="1" applyBorder="1" applyAlignment="1" applyProtection="1">
      <alignment horizontal="left" vertical="center"/>
      <protection locked="0"/>
    </xf>
    <xf numFmtId="14" fontId="74" fillId="0" borderId="0" xfId="0" applyNumberFormat="1" applyFont="1" applyBorder="1" applyAlignment="1">
      <alignment horizontal="center"/>
    </xf>
    <xf numFmtId="0" fontId="12" fillId="2" borderId="91" xfId="0" applyFont="1" applyFill="1" applyBorder="1" applyAlignment="1">
      <alignment horizontal="center" vertical="center" wrapText="1"/>
    </xf>
    <xf numFmtId="0" fontId="12" fillId="2" borderId="93"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24" xfId="0" applyFont="1" applyFill="1" applyBorder="1" applyAlignment="1">
      <alignment horizontal="center" vertical="center" wrapText="1"/>
    </xf>
    <xf numFmtId="3" fontId="7" fillId="2" borderId="28" xfId="0" applyNumberFormat="1" applyFont="1" applyFill="1" applyBorder="1" applyAlignment="1">
      <alignment horizontal="right" vertical="center" wrapText="1" indent="1" readingOrder="1"/>
    </xf>
    <xf numFmtId="3" fontId="7" fillId="2" borderId="32" xfId="0" applyNumberFormat="1" applyFont="1" applyFill="1" applyBorder="1" applyAlignment="1">
      <alignment horizontal="right" vertical="center" wrapText="1" indent="1" readingOrder="1"/>
    </xf>
    <xf numFmtId="3" fontId="7" fillId="2" borderId="68" xfId="0" applyNumberFormat="1" applyFont="1" applyFill="1" applyBorder="1" applyAlignment="1">
      <alignment horizontal="right" vertical="center" wrapText="1" indent="1" readingOrder="1"/>
    </xf>
    <xf numFmtId="3" fontId="3" fillId="2" borderId="83" xfId="0" applyNumberFormat="1" applyFont="1" applyFill="1" applyBorder="1" applyAlignment="1">
      <alignment horizontal="right" vertical="center"/>
    </xf>
    <xf numFmtId="3" fontId="3" fillId="2" borderId="1" xfId="0" applyNumberFormat="1" applyFont="1" applyFill="1" applyBorder="1" applyAlignment="1">
      <alignment horizontal="right" vertical="center"/>
    </xf>
    <xf numFmtId="0" fontId="60" fillId="2" borderId="20" xfId="0" applyFont="1" applyFill="1" applyBorder="1" applyAlignment="1">
      <alignment horizontal="left" vertical="center" wrapText="1"/>
    </xf>
    <xf numFmtId="0" fontId="60" fillId="2" borderId="25" xfId="0" applyFont="1" applyFill="1" applyBorder="1" applyAlignment="1">
      <alignment horizontal="left" vertical="center" wrapText="1"/>
    </xf>
    <xf numFmtId="4" fontId="7" fillId="2" borderId="99" xfId="0" applyNumberFormat="1" applyFont="1" applyFill="1" applyBorder="1" applyAlignment="1">
      <alignment horizontal="center" vertical="center" wrapText="1"/>
    </xf>
    <xf numFmtId="4" fontId="7" fillId="2" borderId="67" xfId="0" applyNumberFormat="1" applyFont="1" applyFill="1" applyBorder="1" applyAlignment="1">
      <alignment horizontal="center" vertical="center" wrapText="1"/>
    </xf>
    <xf numFmtId="4" fontId="7" fillId="2" borderId="68" xfId="0" applyNumberFormat="1" applyFont="1" applyFill="1" applyBorder="1" applyAlignment="1">
      <alignment horizontal="center" vertical="center" wrapText="1"/>
    </xf>
    <xf numFmtId="4" fontId="7" fillId="2" borderId="28" xfId="0" applyNumberFormat="1" applyFont="1" applyFill="1" applyBorder="1" applyAlignment="1">
      <alignment horizontal="center" vertical="center" wrapText="1"/>
    </xf>
    <xf numFmtId="3" fontId="9" fillId="6" borderId="35" xfId="0" applyNumberFormat="1" applyFont="1" applyFill="1" applyBorder="1" applyAlignment="1" applyProtection="1">
      <alignment horizontal="center" vertical="center" wrapText="1"/>
      <protection locked="0"/>
    </xf>
    <xf numFmtId="3" fontId="9" fillId="6" borderId="32" xfId="0" applyNumberFormat="1" applyFont="1" applyFill="1" applyBorder="1" applyAlignment="1" applyProtection="1">
      <alignment horizontal="center" vertical="center" wrapText="1"/>
      <protection locked="0"/>
    </xf>
    <xf numFmtId="3" fontId="7" fillId="2" borderId="67" xfId="0" applyNumberFormat="1" applyFont="1" applyFill="1" applyBorder="1" applyAlignment="1">
      <alignment horizontal="right" vertical="center" wrapText="1" indent="1" readingOrder="1"/>
    </xf>
    <xf numFmtId="3" fontId="7" fillId="2" borderId="62" xfId="0" applyNumberFormat="1" applyFont="1" applyFill="1" applyBorder="1" applyAlignment="1">
      <alignment horizontal="right" vertical="center" wrapText="1" indent="1" readingOrder="1"/>
    </xf>
    <xf numFmtId="0" fontId="97" fillId="0" borderId="0" xfId="0" applyFont="1" applyFill="1" applyBorder="1" applyAlignment="1">
      <alignment horizontal="left"/>
    </xf>
    <xf numFmtId="3" fontId="9" fillId="6" borderId="90" xfId="0" applyNumberFormat="1" applyFont="1" applyFill="1" applyBorder="1" applyAlignment="1" applyProtection="1">
      <alignment horizontal="center" vertical="center" wrapText="1"/>
      <protection locked="0"/>
    </xf>
    <xf numFmtId="3" fontId="9" fillId="6" borderId="62" xfId="0" applyNumberFormat="1" applyFont="1" applyFill="1" applyBorder="1" applyAlignment="1" applyProtection="1">
      <alignment horizontal="center" vertical="center" wrapText="1"/>
      <protection locked="0"/>
    </xf>
    <xf numFmtId="0" fontId="99" fillId="0" borderId="0" xfId="0" applyFont="1" applyBorder="1" applyAlignment="1">
      <alignment horizontal="left"/>
    </xf>
    <xf numFmtId="0" fontId="9" fillId="0" borderId="0" xfId="0" applyFont="1" applyFill="1" applyBorder="1" applyAlignment="1">
      <alignment horizontal="left" vertical="top" wrapText="1"/>
    </xf>
    <xf numFmtId="4" fontId="7" fillId="2" borderId="108" xfId="0" applyNumberFormat="1" applyFont="1" applyFill="1" applyBorder="1" applyAlignment="1">
      <alignment horizontal="center" vertical="center" wrapText="1"/>
    </xf>
    <xf numFmtId="4" fontId="7" fillId="2" borderId="53" xfId="0" applyNumberFormat="1" applyFont="1" applyFill="1" applyBorder="1" applyAlignment="1">
      <alignment horizontal="center" vertical="center" wrapText="1"/>
    </xf>
    <xf numFmtId="3" fontId="9" fillId="6" borderId="50" xfId="0" applyNumberFormat="1" applyFont="1" applyFill="1" applyBorder="1" applyAlignment="1" applyProtection="1">
      <alignment horizontal="center" vertical="center" wrapText="1"/>
      <protection locked="0"/>
    </xf>
    <xf numFmtId="3" fontId="9" fillId="6" borderId="51" xfId="0" applyNumberFormat="1" applyFont="1" applyFill="1" applyBorder="1" applyAlignment="1" applyProtection="1">
      <alignment horizontal="center" vertical="center" wrapText="1"/>
      <protection locked="0"/>
    </xf>
    <xf numFmtId="4" fontId="7" fillId="16" borderId="68" xfId="0" applyNumberFormat="1" applyFont="1" applyFill="1" applyBorder="1" applyAlignment="1" applyProtection="1">
      <alignment horizontal="center" vertical="center" wrapText="1"/>
    </xf>
    <xf numFmtId="4" fontId="7" fillId="16" borderId="28" xfId="0" applyNumberFormat="1" applyFont="1" applyFill="1" applyBorder="1" applyAlignment="1" applyProtection="1">
      <alignment horizontal="center" vertical="center" wrapText="1"/>
    </xf>
    <xf numFmtId="1" fontId="3" fillId="2" borderId="63" xfId="0" applyNumberFormat="1" applyFont="1" applyFill="1" applyBorder="1" applyAlignment="1">
      <alignment horizontal="center" vertical="center" wrapText="1"/>
    </xf>
    <xf numFmtId="3" fontId="4" fillId="2" borderId="83" xfId="0" applyNumberFormat="1" applyFont="1" applyFill="1" applyBorder="1" applyAlignment="1">
      <alignment horizontal="right" vertical="center"/>
    </xf>
    <xf numFmtId="3" fontId="4" fillId="2" borderId="1" xfId="0" applyNumberFormat="1" applyFont="1" applyFill="1" applyBorder="1" applyAlignment="1">
      <alignment horizontal="right" vertical="center"/>
    </xf>
    <xf numFmtId="0" fontId="3" fillId="2" borderId="83" xfId="0" applyFont="1" applyFill="1" applyBorder="1" applyAlignment="1">
      <alignment horizontal="left" vertical="center" wrapText="1"/>
    </xf>
    <xf numFmtId="0" fontId="3" fillId="2" borderId="114" xfId="0" applyFont="1" applyFill="1" applyBorder="1" applyAlignment="1">
      <alignment horizontal="left" vertical="center" wrapText="1"/>
    </xf>
    <xf numFmtId="0" fontId="4" fillId="2" borderId="115"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15" xfId="0" applyFont="1" applyFill="1" applyBorder="1" applyAlignment="1">
      <alignment horizontal="center" vertical="center" wrapText="1"/>
    </xf>
    <xf numFmtId="0" fontId="3" fillId="2" borderId="63" xfId="0" applyFont="1" applyFill="1" applyBorder="1" applyAlignment="1">
      <alignment horizontal="center" vertical="center" wrapText="1"/>
    </xf>
    <xf numFmtId="0" fontId="3" fillId="2" borderId="1" xfId="0" applyFont="1" applyFill="1" applyBorder="1" applyAlignment="1">
      <alignment horizontal="center" vertical="center" wrapText="1"/>
    </xf>
    <xf numFmtId="3" fontId="7" fillId="21" borderId="116" xfId="0" applyNumberFormat="1" applyFont="1" applyFill="1" applyBorder="1" applyAlignment="1" applyProtection="1">
      <alignment horizontal="center" vertical="center" wrapText="1"/>
      <protection locked="0"/>
    </xf>
    <xf numFmtId="3" fontId="7" fillId="21" borderId="117" xfId="0" applyNumberFormat="1" applyFont="1" applyFill="1" applyBorder="1" applyAlignment="1" applyProtection="1">
      <alignment horizontal="center" vertical="center" wrapText="1"/>
      <protection locked="0"/>
    </xf>
    <xf numFmtId="3" fontId="7" fillId="21" borderId="96" xfId="0" applyNumberFormat="1" applyFont="1" applyFill="1" applyBorder="1" applyAlignment="1" applyProtection="1">
      <alignment horizontal="center" vertical="center" wrapText="1"/>
      <protection locked="0"/>
    </xf>
    <xf numFmtId="3" fontId="7" fillId="21" borderId="99" xfId="0" applyNumberFormat="1" applyFont="1" applyFill="1" applyBorder="1" applyAlignment="1" applyProtection="1">
      <alignment horizontal="center" vertical="center" wrapText="1"/>
      <protection locked="0"/>
    </xf>
    <xf numFmtId="3" fontId="7" fillId="21" borderId="65" xfId="0" applyNumberFormat="1" applyFont="1" applyFill="1" applyBorder="1" applyAlignment="1" applyProtection="1">
      <alignment horizontal="center" vertical="center" wrapText="1"/>
      <protection locked="0"/>
    </xf>
    <xf numFmtId="3" fontId="7" fillId="21" borderId="68" xfId="0" applyNumberFormat="1" applyFont="1" applyFill="1" applyBorder="1" applyAlignment="1" applyProtection="1">
      <alignment horizontal="center" vertical="center" wrapText="1"/>
      <protection locked="0"/>
    </xf>
    <xf numFmtId="3" fontId="7" fillId="21" borderId="81" xfId="0" applyNumberFormat="1" applyFont="1" applyFill="1" applyBorder="1" applyAlignment="1" applyProtection="1">
      <alignment horizontal="center" vertical="center" wrapText="1"/>
      <protection locked="0"/>
    </xf>
    <xf numFmtId="3" fontId="7" fillId="21" borderId="108" xfId="0" applyNumberFormat="1" applyFont="1" applyFill="1" applyBorder="1" applyAlignment="1" applyProtection="1">
      <alignment horizontal="center" vertical="center" wrapText="1"/>
      <protection locked="0"/>
    </xf>
    <xf numFmtId="0" fontId="111" fillId="2" borderId="13" xfId="0" applyFont="1" applyFill="1" applyBorder="1" applyAlignment="1">
      <alignment horizontal="center" vertical="center" wrapText="1"/>
    </xf>
    <xf numFmtId="0" fontId="111" fillId="2" borderId="24" xfId="0" applyFont="1" applyFill="1" applyBorder="1" applyAlignment="1">
      <alignment horizontal="center" vertical="center" wrapText="1"/>
    </xf>
    <xf numFmtId="3" fontId="7" fillId="0" borderId="101" xfId="0" applyNumberFormat="1" applyFont="1" applyFill="1" applyBorder="1" applyAlignment="1" applyProtection="1">
      <alignment horizontal="center" vertical="center" wrapText="1"/>
    </xf>
    <xf numFmtId="3" fontId="7" fillId="0" borderId="96" xfId="0" applyNumberFormat="1" applyFont="1" applyFill="1" applyBorder="1" applyAlignment="1" applyProtection="1">
      <alignment horizontal="center" vertical="center" wrapText="1"/>
    </xf>
    <xf numFmtId="3" fontId="7" fillId="0" borderId="100" xfId="0" applyNumberFormat="1" applyFont="1" applyFill="1" applyBorder="1" applyAlignment="1" applyProtection="1">
      <alignment horizontal="center" vertical="center" wrapText="1"/>
    </xf>
    <xf numFmtId="3" fontId="7" fillId="0" borderId="65" xfId="0" applyNumberFormat="1" applyFont="1" applyFill="1" applyBorder="1" applyAlignment="1" applyProtection="1">
      <alignment horizontal="center" vertical="center" wrapText="1"/>
    </xf>
    <xf numFmtId="3" fontId="7" fillId="0" borderId="113" xfId="0" applyNumberFormat="1" applyFont="1" applyFill="1" applyBorder="1" applyAlignment="1" applyProtection="1">
      <alignment horizontal="center" vertical="center" wrapText="1"/>
    </xf>
    <xf numFmtId="3" fontId="7" fillId="0" borderId="81" xfId="0" applyNumberFormat="1" applyFont="1" applyFill="1" applyBorder="1" applyAlignment="1" applyProtection="1">
      <alignment horizontal="center" vertical="center" wrapText="1"/>
    </xf>
    <xf numFmtId="0" fontId="6" fillId="0" borderId="0" xfId="0" applyFont="1" applyAlignment="1">
      <alignment horizontal="right"/>
    </xf>
    <xf numFmtId="0" fontId="9" fillId="2" borderId="14"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14"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22" fillId="2" borderId="16" xfId="0" applyFont="1" applyFill="1" applyBorder="1" applyAlignment="1">
      <alignment horizontal="center" vertical="center" wrapText="1"/>
    </xf>
    <xf numFmtId="14" fontId="74" fillId="0" borderId="0" xfId="0" applyNumberFormat="1" applyFont="1" applyBorder="1" applyAlignment="1">
      <alignment horizontal="right"/>
    </xf>
    <xf numFmtId="0" fontId="7" fillId="2" borderId="17" xfId="0" applyFont="1" applyFill="1" applyBorder="1" applyAlignment="1">
      <alignment vertical="center" wrapText="1"/>
    </xf>
    <xf numFmtId="0" fontId="9" fillId="2" borderId="10" xfId="0" applyFont="1" applyFill="1" applyBorder="1" applyAlignment="1">
      <alignment vertical="center" wrapText="1"/>
    </xf>
    <xf numFmtId="0" fontId="9" fillId="2" borderId="17" xfId="0" applyFont="1" applyFill="1" applyBorder="1" applyAlignment="1">
      <alignment vertical="center" wrapText="1"/>
    </xf>
    <xf numFmtId="0" fontId="10" fillId="2" borderId="14"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7" fillId="2" borderId="10" xfId="0" applyFont="1" applyFill="1" applyBorder="1" applyAlignment="1">
      <alignment vertical="center" wrapText="1"/>
    </xf>
    <xf numFmtId="0" fontId="7" fillId="2" borderId="19" xfId="0" applyFont="1" applyFill="1" applyBorder="1" applyAlignment="1">
      <alignment vertical="center" wrapText="1"/>
    </xf>
    <xf numFmtId="0" fontId="10" fillId="2"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1" fillId="2" borderId="10" xfId="0" applyFont="1" applyFill="1" applyBorder="1" applyAlignment="1">
      <alignment horizontal="left" vertical="center" wrapText="1"/>
    </xf>
    <xf numFmtId="0" fontId="11" fillId="2" borderId="17"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27" fillId="2" borderId="17"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56" fillId="2" borderId="14" xfId="0" applyFont="1" applyFill="1" applyBorder="1" applyAlignment="1">
      <alignment horizontal="center" vertical="center"/>
    </xf>
    <xf numFmtId="0" fontId="56" fillId="2" borderId="18"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9" xfId="0" applyFont="1" applyFill="1" applyBorder="1" applyAlignment="1">
      <alignment horizontal="center" vertical="center" wrapText="1"/>
    </xf>
    <xf numFmtId="1" fontId="21" fillId="6" borderId="138" xfId="0" applyNumberFormat="1" applyFont="1" applyFill="1" applyBorder="1" applyAlignment="1" applyProtection="1">
      <alignment horizontal="center" vertical="center" wrapText="1"/>
      <protection locked="0"/>
    </xf>
    <xf numFmtId="1" fontId="21" fillId="6" borderId="139" xfId="0" applyNumberFormat="1" applyFont="1" applyFill="1" applyBorder="1" applyAlignment="1" applyProtection="1">
      <alignment horizontal="center" vertical="center" wrapText="1"/>
      <protection locked="0"/>
    </xf>
    <xf numFmtId="0" fontId="2" fillId="0" borderId="0" xfId="0" applyFont="1" applyBorder="1" applyAlignment="1">
      <alignment horizontal="left" vertical="center" wrapText="1"/>
    </xf>
    <xf numFmtId="0" fontId="11" fillId="8" borderId="28" xfId="0" applyFont="1" applyFill="1" applyBorder="1" applyAlignment="1">
      <alignment horizontal="center" vertical="center" wrapText="1"/>
    </xf>
    <xf numFmtId="0" fontId="11" fillId="8" borderId="26" xfId="0" applyFont="1" applyFill="1" applyBorder="1" applyAlignment="1">
      <alignment horizontal="center" vertical="center" wrapText="1"/>
    </xf>
    <xf numFmtId="1" fontId="21" fillId="6" borderId="118" xfId="0" applyNumberFormat="1" applyFont="1" applyFill="1" applyBorder="1" applyAlignment="1" applyProtection="1">
      <alignment horizontal="center" vertical="center" wrapText="1"/>
      <protection locked="0"/>
    </xf>
    <xf numFmtId="1" fontId="21" fillId="6" borderId="119" xfId="0" applyNumberFormat="1" applyFont="1" applyFill="1" applyBorder="1" applyAlignment="1" applyProtection="1">
      <alignment horizontal="center" vertical="center" wrapText="1"/>
      <protection locked="0"/>
    </xf>
    <xf numFmtId="1" fontId="21" fillId="6" borderId="133" xfId="0" applyNumberFormat="1" applyFont="1" applyFill="1" applyBorder="1" applyAlignment="1" applyProtection="1">
      <alignment horizontal="center" vertical="center" wrapText="1"/>
      <protection locked="0"/>
    </xf>
    <xf numFmtId="1" fontId="21" fillId="6" borderId="134" xfId="0" applyNumberFormat="1" applyFont="1" applyFill="1" applyBorder="1" applyAlignment="1" applyProtection="1">
      <alignment horizontal="center" vertical="center" wrapText="1"/>
      <protection locked="0"/>
    </xf>
    <xf numFmtId="0" fontId="27" fillId="2" borderId="135" xfId="0" applyFont="1" applyFill="1" applyBorder="1" applyAlignment="1">
      <alignment horizontal="center" vertical="center" wrapText="1"/>
    </xf>
    <xf numFmtId="0" fontId="27" fillId="2" borderId="132"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12" fillId="2" borderId="136" xfId="0" applyFont="1" applyFill="1" applyBorder="1" applyAlignment="1">
      <alignment horizontal="center" vertical="center" wrapText="1"/>
    </xf>
    <xf numFmtId="0" fontId="12" fillId="2" borderId="137" xfId="0" applyFont="1" applyFill="1" applyBorder="1" applyAlignment="1">
      <alignment horizontal="center" vertical="center" wrapText="1"/>
    </xf>
    <xf numFmtId="0" fontId="17" fillId="2" borderId="135" xfId="0" applyFont="1" applyFill="1" applyBorder="1" applyAlignment="1">
      <alignment horizontal="center" vertical="center" wrapText="1"/>
    </xf>
    <xf numFmtId="0" fontId="17" fillId="2" borderId="132"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21" fillId="17" borderId="135" xfId="0" applyFont="1" applyFill="1" applyBorder="1" applyAlignment="1">
      <alignment horizontal="center" vertical="center" wrapText="1"/>
    </xf>
    <xf numFmtId="0" fontId="21" fillId="17" borderId="132"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21" fillId="17" borderId="9" xfId="0" applyFont="1" applyFill="1" applyBorder="1" applyAlignment="1">
      <alignment horizontal="center" vertical="center" wrapText="1"/>
    </xf>
    <xf numFmtId="0" fontId="29" fillId="2" borderId="120" xfId="0" applyFont="1" applyFill="1" applyBorder="1" applyAlignment="1">
      <alignment horizontal="left" vertical="center" wrapText="1"/>
    </xf>
    <xf numFmtId="0" fontId="29" fillId="2" borderId="17" xfId="0" applyFont="1" applyFill="1" applyBorder="1" applyAlignment="1">
      <alignment horizontal="left" vertical="center" wrapText="1"/>
    </xf>
    <xf numFmtId="0" fontId="29" fillId="2" borderId="19" xfId="0" applyFont="1" applyFill="1" applyBorder="1" applyAlignment="1">
      <alignment horizontal="left" vertical="center" wrapText="1"/>
    </xf>
    <xf numFmtId="1" fontId="21" fillId="6" borderId="130" xfId="0" applyNumberFormat="1" applyFont="1" applyFill="1" applyBorder="1" applyAlignment="1" applyProtection="1">
      <alignment horizontal="center" vertical="center" wrapText="1"/>
      <protection locked="0"/>
    </xf>
    <xf numFmtId="1" fontId="21" fillId="6" borderId="131" xfId="0" applyNumberFormat="1" applyFont="1" applyFill="1" applyBorder="1" applyAlignment="1" applyProtection="1">
      <alignment horizontal="center" vertical="center" wrapText="1"/>
      <protection locked="0"/>
    </xf>
    <xf numFmtId="0" fontId="4" fillId="2" borderId="20"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12" fillId="2" borderId="120"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12" fillId="2" borderId="10" xfId="0" applyFont="1" applyFill="1" applyBorder="1" applyAlignment="1">
      <alignment horizontal="center" vertical="center" wrapText="1"/>
    </xf>
    <xf numFmtId="0" fontId="12" fillId="2" borderId="129" xfId="0" applyFont="1" applyFill="1" applyBorder="1" applyAlignment="1">
      <alignment horizontal="center" vertical="center" wrapText="1"/>
    </xf>
    <xf numFmtId="0" fontId="11" fillId="17" borderId="128" xfId="0" applyFont="1" applyFill="1" applyBorder="1" applyAlignment="1">
      <alignment horizontal="center" vertical="center" wrapText="1"/>
    </xf>
    <xf numFmtId="0" fontId="11" fillId="17" borderId="16" xfId="0" applyFont="1" applyFill="1" applyBorder="1" applyAlignment="1">
      <alignment horizontal="center" vertical="center" wrapText="1"/>
    </xf>
    <xf numFmtId="0" fontId="17" fillId="17" borderId="132" xfId="0" applyFont="1" applyFill="1" applyBorder="1" applyAlignment="1">
      <alignment horizontal="center" vertical="center" wrapText="1"/>
    </xf>
    <xf numFmtId="0" fontId="17" fillId="17" borderId="9" xfId="0" applyFont="1" applyFill="1" applyBorder="1" applyAlignment="1">
      <alignment horizontal="center" vertical="center" wrapText="1"/>
    </xf>
    <xf numFmtId="0" fontId="9" fillId="2" borderId="98" xfId="0" applyFont="1" applyFill="1" applyBorder="1" applyAlignment="1">
      <alignment horizontal="left" vertical="center" wrapText="1"/>
    </xf>
    <xf numFmtId="0" fontId="9" fillId="2" borderId="76" xfId="0" applyFont="1" applyFill="1" applyBorder="1" applyAlignment="1">
      <alignment horizontal="left" vertical="center" wrapText="1"/>
    </xf>
    <xf numFmtId="3" fontId="21" fillId="6" borderId="28" xfId="0" applyNumberFormat="1" applyFont="1" applyFill="1" applyBorder="1" applyAlignment="1" applyProtection="1">
      <alignment horizontal="right" vertical="center" wrapText="1" indent="1"/>
      <protection locked="0"/>
    </xf>
    <xf numFmtId="3" fontId="21" fillId="6" borderId="32" xfId="0" applyNumberFormat="1" applyFont="1" applyFill="1" applyBorder="1" applyAlignment="1" applyProtection="1">
      <alignment horizontal="right" vertical="center" wrapText="1" indent="1"/>
      <protection locked="0"/>
    </xf>
    <xf numFmtId="0" fontId="9" fillId="2" borderId="98" xfId="0" applyFont="1" applyFill="1" applyBorder="1" applyAlignment="1">
      <alignment horizontal="left" vertical="top" wrapText="1"/>
    </xf>
    <xf numFmtId="0" fontId="9" fillId="2" borderId="76" xfId="0" applyFont="1" applyFill="1" applyBorder="1" applyAlignment="1">
      <alignment horizontal="left" vertical="top" wrapText="1"/>
    </xf>
    <xf numFmtId="3" fontId="21" fillId="2" borderId="68" xfId="0" applyNumberFormat="1" applyFont="1" applyFill="1" applyBorder="1" applyAlignment="1">
      <alignment horizontal="right" vertical="center" wrapText="1" indent="1"/>
    </xf>
    <xf numFmtId="3" fontId="21" fillId="2" borderId="32" xfId="0" applyNumberFormat="1" applyFont="1" applyFill="1" applyBorder="1" applyAlignment="1">
      <alignment horizontal="right" vertical="center" wrapText="1" indent="1"/>
    </xf>
    <xf numFmtId="3" fontId="9" fillId="2" borderId="83" xfId="0" applyNumberFormat="1" applyFont="1" applyFill="1" applyBorder="1" applyAlignment="1">
      <alignment horizontal="right" vertical="center" indent="1"/>
    </xf>
    <xf numFmtId="3" fontId="9" fillId="2" borderId="1" xfId="0" applyNumberFormat="1" applyFont="1" applyFill="1" applyBorder="1" applyAlignment="1">
      <alignment horizontal="right" vertical="center" indent="1"/>
    </xf>
    <xf numFmtId="3" fontId="21" fillId="2" borderId="53" xfId="0" applyNumberFormat="1" applyFont="1" applyFill="1" applyBorder="1" applyAlignment="1">
      <alignment horizontal="right" vertical="center" wrapText="1" indent="1"/>
    </xf>
    <xf numFmtId="3" fontId="21" fillId="2" borderId="78" xfId="0" applyNumberFormat="1" applyFont="1" applyFill="1" applyBorder="1" applyAlignment="1">
      <alignment horizontal="right" vertical="center" wrapText="1" indent="1"/>
    </xf>
    <xf numFmtId="3" fontId="21" fillId="2" borderId="26" xfId="0" applyNumberFormat="1" applyFont="1" applyFill="1" applyBorder="1" applyAlignment="1">
      <alignment horizontal="right" vertical="center" wrapText="1" indent="1"/>
    </xf>
    <xf numFmtId="3" fontId="21" fillId="2" borderId="31" xfId="0" applyNumberFormat="1" applyFont="1" applyFill="1" applyBorder="1" applyAlignment="1">
      <alignment horizontal="right" vertical="center" wrapText="1" inden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9" fillId="2" borderId="15" xfId="0" applyFont="1" applyFill="1" applyBorder="1" applyAlignment="1">
      <alignment horizontal="left" vertical="top" wrapText="1"/>
    </xf>
    <xf numFmtId="4" fontId="12" fillId="6" borderId="67" xfId="0" applyNumberFormat="1" applyFont="1" applyFill="1" applyBorder="1" applyAlignment="1" applyProtection="1">
      <alignment horizontal="center" vertical="center" wrapText="1"/>
      <protection locked="0"/>
    </xf>
    <xf numFmtId="0" fontId="12" fillId="17" borderId="128" xfId="0" applyFont="1" applyFill="1" applyBorder="1" applyAlignment="1">
      <alignment horizontal="center" vertical="center" wrapText="1"/>
    </xf>
    <xf numFmtId="0" fontId="12" fillId="17" borderId="16" xfId="0" applyFont="1" applyFill="1" applyBorder="1" applyAlignment="1">
      <alignment horizontal="center" vertical="center" wrapText="1"/>
    </xf>
    <xf numFmtId="3" fontId="9" fillId="2" borderId="83" xfId="0" applyNumberFormat="1" applyFont="1" applyFill="1" applyBorder="1" applyAlignment="1">
      <alignment horizontal="right" vertical="center" wrapText="1" indent="1"/>
    </xf>
    <xf numFmtId="3" fontId="9" fillId="2" borderId="1" xfId="0" applyNumberFormat="1" applyFont="1" applyFill="1" applyBorder="1" applyAlignment="1">
      <alignment horizontal="right" vertical="center" wrapText="1" indent="1"/>
    </xf>
    <xf numFmtId="3" fontId="21" fillId="6" borderId="26" xfId="0" applyNumberFormat="1" applyFont="1" applyFill="1" applyBorder="1" applyAlignment="1" applyProtection="1">
      <alignment horizontal="right" vertical="center" wrapText="1" indent="1"/>
      <protection locked="0"/>
    </xf>
    <xf numFmtId="3" fontId="21" fillId="6" borderId="31" xfId="0" applyNumberFormat="1" applyFont="1" applyFill="1" applyBorder="1" applyAlignment="1" applyProtection="1">
      <alignment horizontal="right" vertical="center" wrapText="1" indent="1"/>
      <protection locked="0"/>
    </xf>
    <xf numFmtId="0" fontId="12" fillId="0" borderId="35" xfId="0" applyFont="1" applyBorder="1" applyAlignment="1">
      <alignment horizontal="left" vertical="center" wrapText="1"/>
    </xf>
    <xf numFmtId="0" fontId="12" fillId="0" borderId="28" xfId="0" applyFont="1" applyBorder="1" applyAlignment="1">
      <alignment horizontal="left" vertical="center" wrapText="1"/>
    </xf>
    <xf numFmtId="0" fontId="12" fillId="0" borderId="57" xfId="0" applyFont="1" applyBorder="1" applyAlignment="1">
      <alignment horizontal="left" vertical="center" wrapText="1"/>
    </xf>
    <xf numFmtId="3" fontId="21" fillId="6" borderId="53" xfId="0" applyNumberFormat="1" applyFont="1" applyFill="1" applyBorder="1" applyAlignment="1" applyProtection="1">
      <alignment horizontal="right" vertical="center" wrapText="1" indent="1"/>
      <protection locked="0"/>
    </xf>
    <xf numFmtId="3" fontId="21" fillId="6" borderId="78" xfId="0" applyNumberFormat="1" applyFont="1" applyFill="1" applyBorder="1" applyAlignment="1" applyProtection="1">
      <alignment horizontal="right" vertical="center" wrapText="1" indent="1"/>
      <protection locked="0"/>
    </xf>
    <xf numFmtId="0" fontId="12" fillId="6" borderId="36" xfId="0" applyFont="1" applyFill="1" applyBorder="1" applyAlignment="1" applyProtection="1">
      <alignment horizontal="left" vertical="center" wrapText="1"/>
      <protection locked="0"/>
    </xf>
    <xf numFmtId="0" fontId="12" fillId="6" borderId="29" xfId="0" applyFont="1" applyFill="1" applyBorder="1" applyAlignment="1" applyProtection="1">
      <alignment horizontal="left" vertical="center" wrapText="1"/>
      <protection locked="0"/>
    </xf>
    <xf numFmtId="0" fontId="12" fillId="6" borderId="88" xfId="0" applyFont="1" applyFill="1" applyBorder="1" applyAlignment="1" applyProtection="1">
      <alignment horizontal="left" vertical="center" wrapText="1"/>
      <protection locked="0"/>
    </xf>
    <xf numFmtId="49" fontId="24" fillId="2" borderId="125" xfId="0" applyNumberFormat="1" applyFont="1" applyFill="1" applyBorder="1" applyAlignment="1">
      <alignment horizontal="center" vertical="center"/>
    </xf>
    <xf numFmtId="49" fontId="24" fillId="2" borderId="0" xfId="0" applyNumberFormat="1" applyFont="1" applyFill="1" applyBorder="1" applyAlignment="1">
      <alignment horizontal="center" vertical="center"/>
    </xf>
    <xf numFmtId="49" fontId="24" fillId="2" borderId="110" xfId="0" applyNumberFormat="1" applyFont="1" applyFill="1" applyBorder="1" applyAlignment="1">
      <alignment horizontal="center" vertical="center"/>
    </xf>
    <xf numFmtId="1" fontId="21" fillId="6" borderId="126" xfId="0" applyNumberFormat="1" applyFont="1" applyFill="1" applyBorder="1" applyAlignment="1" applyProtection="1">
      <alignment horizontal="center" vertical="center" wrapText="1"/>
      <protection locked="0"/>
    </xf>
    <xf numFmtId="1" fontId="21" fillId="6" borderId="127" xfId="0" applyNumberFormat="1" applyFont="1" applyFill="1" applyBorder="1" applyAlignment="1" applyProtection="1">
      <alignment horizontal="center" vertical="center" wrapText="1"/>
      <protection locked="0"/>
    </xf>
    <xf numFmtId="43" fontId="0" fillId="0" borderId="0" xfId="2" applyFont="1" applyBorder="1" applyAlignment="1">
      <alignment horizontal="left"/>
    </xf>
    <xf numFmtId="4" fontId="12" fillId="2" borderId="68" xfId="0" applyNumberFormat="1" applyFont="1" applyFill="1" applyBorder="1" applyAlignment="1">
      <alignment horizontal="center" vertical="center"/>
    </xf>
    <xf numFmtId="4" fontId="12" fillId="2" borderId="28" xfId="0" applyNumberFormat="1" applyFont="1" applyFill="1" applyBorder="1" applyAlignment="1">
      <alignment horizontal="center" vertical="center"/>
    </xf>
    <xf numFmtId="0" fontId="12" fillId="0" borderId="34" xfId="0" applyFont="1" applyBorder="1" applyAlignment="1">
      <alignment horizontal="left" vertical="center" wrapText="1"/>
    </xf>
    <xf numFmtId="0" fontId="12" fillId="0" borderId="26" xfId="0" applyFont="1" applyBorder="1" applyAlignment="1">
      <alignment horizontal="left" vertical="center" wrapText="1"/>
    </xf>
    <xf numFmtId="0" fontId="12" fillId="0" borderId="55" xfId="0" applyFont="1" applyBorder="1" applyAlignment="1">
      <alignment horizontal="left" vertical="center" wrapText="1"/>
    </xf>
    <xf numFmtId="4" fontId="12" fillId="6" borderId="121" xfId="0" applyNumberFormat="1" applyFont="1" applyFill="1" applyBorder="1" applyAlignment="1" applyProtection="1">
      <alignment horizontal="center" vertical="center" wrapText="1"/>
      <protection locked="0"/>
    </xf>
    <xf numFmtId="0" fontId="12" fillId="0" borderId="36" xfId="0" applyFont="1" applyBorder="1" applyAlignment="1">
      <alignment horizontal="left" vertical="center" wrapText="1"/>
    </xf>
    <xf numFmtId="0" fontId="12" fillId="0" borderId="29" xfId="0" applyFont="1" applyBorder="1" applyAlignment="1">
      <alignment horizontal="left" vertical="center" wrapText="1"/>
    </xf>
    <xf numFmtId="49" fontId="12" fillId="6" borderId="122" xfId="0" applyNumberFormat="1" applyFont="1" applyFill="1" applyBorder="1" applyAlignment="1" applyProtection="1">
      <alignment horizontal="center" vertical="center"/>
      <protection locked="0"/>
    </xf>
    <xf numFmtId="49" fontId="12" fillId="6" borderId="123" xfId="0" applyNumberFormat="1" applyFont="1" applyFill="1" applyBorder="1" applyAlignment="1" applyProtection="1">
      <alignment horizontal="center" vertical="center"/>
      <protection locked="0"/>
    </xf>
    <xf numFmtId="49" fontId="12" fillId="6" borderId="124" xfId="0" applyNumberFormat="1" applyFont="1" applyFill="1" applyBorder="1" applyAlignment="1" applyProtection="1">
      <alignment horizontal="center" vertical="center"/>
      <protection locked="0"/>
    </xf>
    <xf numFmtId="4" fontId="12" fillId="6" borderId="89" xfId="0" applyNumberFormat="1" applyFont="1" applyFill="1" applyBorder="1" applyAlignment="1" applyProtection="1">
      <alignment horizontal="center" vertical="center"/>
      <protection locked="0"/>
    </xf>
    <xf numFmtId="4" fontId="12" fillId="6" borderId="29" xfId="0" applyNumberFormat="1" applyFont="1" applyFill="1" applyBorder="1" applyAlignment="1" applyProtection="1">
      <alignment horizontal="center" vertical="center"/>
      <protection locked="0"/>
    </xf>
    <xf numFmtId="2" fontId="0" fillId="0" borderId="0" xfId="0" applyNumberFormat="1" applyAlignment="1">
      <alignment horizontal="left"/>
    </xf>
    <xf numFmtId="0" fontId="12" fillId="2" borderId="19" xfId="0" applyFont="1" applyFill="1" applyBorder="1" applyAlignment="1">
      <alignment horizontal="center" vertical="center" wrapText="1"/>
    </xf>
    <xf numFmtId="4" fontId="12" fillId="2" borderId="87" xfId="0" applyNumberFormat="1" applyFont="1" applyFill="1" applyBorder="1" applyAlignment="1">
      <alignment horizontal="center" vertical="center"/>
    </xf>
    <xf numFmtId="4" fontId="12" fillId="2" borderId="26" xfId="0" applyNumberFormat="1" applyFont="1" applyFill="1" applyBorder="1" applyAlignment="1">
      <alignment horizontal="center" vertical="center"/>
    </xf>
    <xf numFmtId="0" fontId="9" fillId="2" borderId="15" xfId="0" applyFont="1" applyFill="1" applyBorder="1" applyAlignment="1">
      <alignment horizontal="left" vertical="center" wrapText="1"/>
    </xf>
    <xf numFmtId="0" fontId="12" fillId="2" borderId="120" xfId="0" applyFont="1" applyFill="1" applyBorder="1" applyAlignment="1">
      <alignment horizontal="center" vertical="center" wrapText="1"/>
    </xf>
    <xf numFmtId="0" fontId="12" fillId="2" borderId="17" xfId="0" applyFont="1" applyFill="1" applyBorder="1" applyAlignment="1">
      <alignment horizontal="center" vertical="center" wrapText="1"/>
    </xf>
    <xf numFmtId="43" fontId="63" fillId="0" borderId="83" xfId="2" applyFont="1" applyBorder="1" applyAlignment="1">
      <alignment horizontal="left"/>
    </xf>
    <xf numFmtId="43" fontId="63" fillId="0" borderId="1" xfId="2" applyFont="1" applyBorder="1" applyAlignment="1">
      <alignment horizontal="left"/>
    </xf>
    <xf numFmtId="2" fontId="0" fillId="0" borderId="0" xfId="0" applyNumberFormat="1" applyBorder="1" applyAlignment="1">
      <alignment horizontal="center"/>
    </xf>
    <xf numFmtId="43" fontId="11" fillId="0" borderId="0" xfId="2" applyFont="1" applyBorder="1" applyAlignment="1">
      <alignment horizontal="right"/>
    </xf>
    <xf numFmtId="4" fontId="11" fillId="3" borderId="57" xfId="0" applyNumberFormat="1" applyFont="1" applyFill="1" applyBorder="1" applyAlignment="1">
      <alignment horizontal="center" vertical="center" wrapText="1"/>
    </xf>
    <xf numFmtId="4" fontId="11" fillId="3" borderId="65" xfId="0" applyNumberFormat="1" applyFont="1" applyFill="1" applyBorder="1" applyAlignment="1">
      <alignment horizontal="center" vertical="center" wrapText="1"/>
    </xf>
    <xf numFmtId="4" fontId="11" fillId="3" borderId="68" xfId="0" applyNumberFormat="1" applyFont="1" applyFill="1" applyBorder="1" applyAlignment="1">
      <alignment horizontal="center" vertical="center" wrapText="1"/>
    </xf>
    <xf numFmtId="43" fontId="11" fillId="0" borderId="0" xfId="2" applyFont="1" applyBorder="1" applyAlignment="1">
      <alignment horizontal="left"/>
    </xf>
    <xf numFmtId="0" fontId="53" fillId="0" borderId="3" xfId="0" applyFont="1" applyBorder="1" applyAlignment="1">
      <alignment horizontal="center"/>
    </xf>
    <xf numFmtId="0" fontId="53" fillId="0" borderId="4" xfId="0" applyFont="1" applyBorder="1" applyAlignment="1">
      <alignment horizontal="center"/>
    </xf>
    <xf numFmtId="0" fontId="53" fillId="0" borderId="5" xfId="0" applyFont="1" applyBorder="1" applyAlignment="1">
      <alignment horizontal="center"/>
    </xf>
    <xf numFmtId="0" fontId="2" fillId="6" borderId="20" xfId="0" applyFont="1" applyFill="1" applyBorder="1" applyAlignment="1" applyProtection="1">
      <alignment horizontal="left" vertical="top" wrapText="1"/>
      <protection locked="0"/>
    </xf>
    <xf numFmtId="0" fontId="2" fillId="6" borderId="21" xfId="0" applyFont="1" applyFill="1" applyBorder="1" applyAlignment="1" applyProtection="1">
      <alignment horizontal="left" vertical="top" wrapText="1"/>
      <protection locked="0"/>
    </xf>
    <xf numFmtId="0" fontId="2" fillId="6" borderId="13" xfId="0" applyFont="1" applyFill="1" applyBorder="1" applyAlignment="1" applyProtection="1">
      <alignment horizontal="left" vertical="top" wrapText="1"/>
      <protection locked="0"/>
    </xf>
    <xf numFmtId="0" fontId="2" fillId="6" borderId="22" xfId="0" applyFont="1" applyFill="1" applyBorder="1" applyAlignment="1" applyProtection="1">
      <alignment horizontal="left" vertical="top" wrapText="1"/>
      <protection locked="0"/>
    </xf>
    <xf numFmtId="0" fontId="2" fillId="6" borderId="0" xfId="0" applyFont="1" applyFill="1" applyBorder="1" applyAlignment="1" applyProtection="1">
      <alignment horizontal="left" vertical="top" wrapText="1"/>
      <protection locked="0"/>
    </xf>
    <xf numFmtId="0" fontId="2" fillId="6" borderId="23" xfId="0" applyFont="1" applyFill="1" applyBorder="1" applyAlignment="1" applyProtection="1">
      <alignment horizontal="left" vertical="top" wrapText="1"/>
      <protection locked="0"/>
    </xf>
    <xf numFmtId="0" fontId="2" fillId="6" borderId="25" xfId="0" applyFont="1" applyFill="1" applyBorder="1" applyAlignment="1" applyProtection="1">
      <alignment horizontal="left" vertical="top" wrapText="1"/>
      <protection locked="0"/>
    </xf>
    <xf numFmtId="0" fontId="2" fillId="6" borderId="15" xfId="0" applyFont="1" applyFill="1" applyBorder="1" applyAlignment="1" applyProtection="1">
      <alignment horizontal="left" vertical="top" wrapText="1"/>
      <protection locked="0"/>
    </xf>
    <xf numFmtId="0" fontId="2" fillId="6" borderId="24" xfId="0" applyFont="1" applyFill="1" applyBorder="1" applyAlignment="1" applyProtection="1">
      <alignment horizontal="left" vertical="top" wrapText="1"/>
      <protection locked="0"/>
    </xf>
    <xf numFmtId="14" fontId="74" fillId="0" borderId="0" xfId="2" applyNumberFormat="1" applyFont="1" applyBorder="1" applyAlignment="1">
      <alignment horizontal="right"/>
    </xf>
    <xf numFmtId="0" fontId="2" fillId="0" borderId="0" xfId="0" applyFont="1" applyAlignment="1">
      <alignment horizontal="left" wrapText="1"/>
    </xf>
    <xf numFmtId="0" fontId="11" fillId="0" borderId="83" xfId="0" applyFont="1" applyBorder="1" applyAlignment="1">
      <alignment horizontal="center" vertical="center" wrapText="1"/>
    </xf>
    <xf numFmtId="0" fontId="11" fillId="0" borderId="63" xfId="0" applyFont="1" applyBorder="1" applyAlignment="1">
      <alignment horizontal="center" vertical="center" wrapText="1"/>
    </xf>
    <xf numFmtId="0" fontId="3" fillId="2" borderId="10"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0" xfId="0" applyFont="1" applyFill="1" applyBorder="1" applyAlignment="1" applyProtection="1">
      <alignment horizontal="left" vertical="center" wrapText="1"/>
    </xf>
    <xf numFmtId="0" fontId="3" fillId="2" borderId="17" xfId="0" applyFont="1" applyFill="1" applyBorder="1" applyAlignment="1" applyProtection="1">
      <alignment horizontal="left" vertical="center" wrapText="1"/>
    </xf>
    <xf numFmtId="14" fontId="74" fillId="0" borderId="0" xfId="0" applyNumberFormat="1" applyFont="1" applyBorder="1" applyAlignment="1" applyProtection="1">
      <alignment horizontal="right"/>
    </xf>
    <xf numFmtId="0" fontId="7" fillId="6" borderId="57" xfId="0" applyFont="1" applyFill="1" applyBorder="1" applyAlignment="1" applyProtection="1">
      <alignment vertical="center" wrapText="1"/>
      <protection locked="0"/>
    </xf>
    <xf numFmtId="0" fontId="7" fillId="6" borderId="68" xfId="0" applyFont="1" applyFill="1" applyBorder="1" applyAlignment="1" applyProtection="1">
      <alignment vertical="center" wrapText="1"/>
      <protection locked="0"/>
    </xf>
    <xf numFmtId="183" fontId="3" fillId="6" borderId="83" xfId="1" applyNumberFormat="1" applyFont="1" applyFill="1" applyBorder="1" applyAlignment="1" applyProtection="1">
      <alignment horizontal="center" vertical="center" wrapText="1"/>
      <protection locked="0"/>
    </xf>
    <xf numFmtId="183" fontId="3" fillId="6" borderId="1" xfId="1" applyNumberFormat="1" applyFont="1" applyFill="1" applyBorder="1" applyAlignment="1" applyProtection="1">
      <alignment horizontal="center" vertical="center" wrapText="1"/>
      <protection locked="0"/>
    </xf>
    <xf numFmtId="0" fontId="7" fillId="2" borderId="1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6" borderId="26" xfId="0" applyFont="1" applyFill="1" applyBorder="1" applyAlignment="1" applyProtection="1">
      <alignment vertical="center" wrapText="1"/>
      <protection locked="0"/>
    </xf>
    <xf numFmtId="0" fontId="12" fillId="6" borderId="34" xfId="0" applyFont="1" applyFill="1" applyBorder="1" applyAlignment="1" applyProtection="1">
      <alignment horizontal="left" vertical="center" wrapText="1"/>
      <protection locked="0"/>
    </xf>
    <xf numFmtId="0" fontId="12" fillId="6" borderId="26" xfId="0" applyFont="1" applyFill="1" applyBorder="1" applyAlignment="1" applyProtection="1">
      <alignment horizontal="left" vertical="center" wrapText="1"/>
      <protection locked="0"/>
    </xf>
    <xf numFmtId="0" fontId="12" fillId="6" borderId="50" xfId="0" applyFont="1" applyFill="1" applyBorder="1" applyAlignment="1" applyProtection="1">
      <alignment horizontal="left" vertical="center" wrapText="1"/>
      <protection locked="0"/>
    </xf>
    <xf numFmtId="0" fontId="12" fillId="6" borderId="30" xfId="0" applyFont="1" applyFill="1" applyBorder="1" applyAlignment="1" applyProtection="1">
      <alignment horizontal="left" vertical="center" wrapText="1"/>
      <protection locked="0"/>
    </xf>
    <xf numFmtId="0" fontId="87" fillId="0" borderId="0" xfId="0" applyFont="1" applyBorder="1" applyAlignment="1">
      <alignment horizontal="left" vertical="center" wrapText="1"/>
    </xf>
    <xf numFmtId="0" fontId="12" fillId="6" borderId="35" xfId="0" applyFont="1" applyFill="1" applyBorder="1" applyAlignment="1" applyProtection="1">
      <alignment horizontal="left" vertical="center" wrapText="1"/>
      <protection locked="0"/>
    </xf>
    <xf numFmtId="0" fontId="12" fillId="6" borderId="28" xfId="0" applyFont="1" applyFill="1" applyBorder="1" applyAlignment="1" applyProtection="1">
      <alignment horizontal="left" vertical="center" wrapText="1"/>
      <protection locked="0"/>
    </xf>
    <xf numFmtId="0" fontId="58" fillId="0" borderId="83" xfId="0" applyFont="1" applyBorder="1" applyAlignment="1">
      <alignment horizontal="left" vertical="center" wrapText="1"/>
    </xf>
    <xf numFmtId="0" fontId="58" fillId="0" borderId="1" xfId="0" applyFont="1" applyBorder="1" applyAlignment="1">
      <alignment horizontal="left" vertical="center" wrapText="1"/>
    </xf>
    <xf numFmtId="0" fontId="7" fillId="2" borderId="14"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58" fillId="0" borderId="63" xfId="0" applyFont="1" applyBorder="1" applyAlignment="1">
      <alignment horizontal="left" vertical="center" wrapText="1"/>
    </xf>
    <xf numFmtId="0" fontId="57" fillId="0" borderId="0" xfId="0" applyFont="1" applyAlignment="1">
      <alignment horizontal="left" wrapText="1"/>
    </xf>
    <xf numFmtId="0" fontId="10" fillId="2" borderId="10" xfId="0" applyFont="1" applyFill="1" applyBorder="1" applyAlignment="1">
      <alignment vertical="center" wrapText="1"/>
    </xf>
    <xf numFmtId="0" fontId="10" fillId="2" borderId="17" xfId="0" applyFont="1" applyFill="1" applyBorder="1" applyAlignment="1">
      <alignment vertical="center" wrapText="1"/>
    </xf>
    <xf numFmtId="0" fontId="10" fillId="2" borderId="19" xfId="0" applyFont="1" applyFill="1" applyBorder="1" applyAlignment="1">
      <alignment vertical="center" wrapText="1"/>
    </xf>
    <xf numFmtId="0" fontId="10" fillId="2" borderId="12" xfId="0" applyFont="1" applyFill="1" applyBorder="1" applyAlignment="1">
      <alignment vertical="center" wrapText="1"/>
    </xf>
    <xf numFmtId="0" fontId="10" fillId="2" borderId="63" xfId="0" applyFont="1" applyFill="1" applyBorder="1" applyAlignment="1">
      <alignment horizontal="left" vertical="center" wrapText="1"/>
    </xf>
    <xf numFmtId="0" fontId="27" fillId="2" borderId="63" xfId="0" applyFont="1" applyFill="1" applyBorder="1" applyAlignment="1">
      <alignment horizontal="left" vertical="center" wrapText="1"/>
    </xf>
    <xf numFmtId="0" fontId="11" fillId="2" borderId="140"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24"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6" fillId="6" borderId="37" xfId="0" applyFont="1" applyFill="1" applyBorder="1" applyAlignment="1" applyProtection="1">
      <alignment horizontal="left" vertical="center" wrapText="1"/>
      <protection locked="0"/>
    </xf>
    <xf numFmtId="0" fontId="16" fillId="6" borderId="26" xfId="0" applyFont="1" applyFill="1" applyBorder="1" applyAlignment="1" applyProtection="1">
      <alignment horizontal="left" vertical="center" wrapText="1"/>
      <protection locked="0"/>
    </xf>
    <xf numFmtId="0" fontId="16" fillId="6" borderId="38" xfId="0" applyFont="1" applyFill="1" applyBorder="1" applyAlignment="1" applyProtection="1">
      <alignment horizontal="left" vertical="center" wrapText="1"/>
      <protection locked="0"/>
    </xf>
    <xf numFmtId="0" fontId="16" fillId="6" borderId="29" xfId="0" applyFont="1" applyFill="1" applyBorder="1" applyAlignment="1" applyProtection="1">
      <alignment horizontal="left" vertical="center" wrapText="1"/>
      <protection locked="0"/>
    </xf>
    <xf numFmtId="0" fontId="9" fillId="2" borderId="10"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16" fillId="6" borderId="27" xfId="0" applyFont="1" applyFill="1" applyBorder="1" applyAlignment="1" applyProtection="1">
      <alignment horizontal="left" vertical="center" wrapText="1"/>
      <protection locked="0"/>
    </xf>
    <xf numFmtId="0" fontId="16" fillId="6" borderId="28" xfId="0" applyFont="1" applyFill="1" applyBorder="1" applyAlignment="1" applyProtection="1">
      <alignment horizontal="left" vertical="center" wrapText="1"/>
      <protection locked="0"/>
    </xf>
    <xf numFmtId="0" fontId="27" fillId="2" borderId="10" xfId="0" applyFont="1" applyFill="1" applyBorder="1" applyAlignment="1">
      <alignment horizontal="left" vertical="center" wrapText="1"/>
    </xf>
    <xf numFmtId="0" fontId="27" fillId="2" borderId="17" xfId="0" applyFont="1" applyFill="1" applyBorder="1" applyAlignment="1">
      <alignment horizontal="left" vertical="center" wrapText="1"/>
    </xf>
    <xf numFmtId="183" fontId="4" fillId="2" borderId="83" xfId="2" applyNumberFormat="1" applyFont="1" applyFill="1" applyBorder="1" applyAlignment="1">
      <alignment horizontal="center" vertical="center" wrapText="1"/>
    </xf>
    <xf numFmtId="183" fontId="4" fillId="2" borderId="1" xfId="2" applyNumberFormat="1" applyFont="1" applyFill="1" applyBorder="1" applyAlignment="1">
      <alignment horizontal="center" vertical="center" wrapText="1"/>
    </xf>
    <xf numFmtId="0" fontId="11" fillId="2" borderId="8" xfId="0"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0" xfId="0" applyFont="1" applyFill="1" applyBorder="1" applyAlignment="1">
      <alignment horizontal="center" vertical="top" wrapText="1"/>
    </xf>
    <xf numFmtId="0" fontId="11" fillId="2" borderId="7" xfId="0" applyFont="1" applyFill="1" applyBorder="1" applyAlignment="1">
      <alignment horizontal="center" vertical="top" wrapText="1"/>
    </xf>
    <xf numFmtId="0" fontId="64" fillId="2" borderId="3" xfId="0" applyFont="1" applyFill="1" applyBorder="1" applyAlignment="1">
      <alignment horizontal="center" wrapText="1"/>
    </xf>
    <xf numFmtId="0" fontId="11" fillId="2" borderId="4" xfId="0" applyFont="1" applyFill="1" applyBorder="1" applyAlignment="1">
      <alignment horizontal="center" wrapText="1"/>
    </xf>
    <xf numFmtId="0" fontId="11" fillId="2" borderId="5" xfId="0" applyFont="1" applyFill="1" applyBorder="1" applyAlignment="1">
      <alignment horizontal="center" wrapText="1"/>
    </xf>
    <xf numFmtId="0" fontId="4" fillId="2" borderId="10"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11" fillId="2" borderId="1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0" fillId="2" borderId="98" xfId="0" applyFont="1" applyFill="1" applyBorder="1" applyAlignment="1">
      <alignment horizontal="center" vertical="top" wrapText="1"/>
    </xf>
    <xf numFmtId="0" fontId="10" fillId="2" borderId="144" xfId="0" applyFont="1" applyFill="1" applyBorder="1" applyAlignment="1">
      <alignment horizontal="center" vertical="top" wrapText="1"/>
    </xf>
    <xf numFmtId="0" fontId="12" fillId="11" borderId="50" xfId="0" quotePrefix="1" applyFont="1" applyFill="1" applyBorder="1" applyAlignment="1">
      <alignment horizontal="center" vertical="center" wrapText="1"/>
    </xf>
    <xf numFmtId="0" fontId="12" fillId="11" borderId="30" xfId="0" quotePrefix="1" applyFont="1" applyFill="1" applyBorder="1" applyAlignment="1">
      <alignment horizontal="center" vertical="center" wrapText="1"/>
    </xf>
    <xf numFmtId="0" fontId="12" fillId="2" borderId="6"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0" fillId="2" borderId="145" xfId="0" applyFont="1" applyFill="1" applyBorder="1" applyAlignment="1">
      <alignment horizontal="center" vertical="top" wrapText="1"/>
    </xf>
    <xf numFmtId="0" fontId="10" fillId="2" borderId="10" xfId="0" applyFont="1" applyFill="1" applyBorder="1" applyAlignment="1">
      <alignment horizontal="center" vertical="top" wrapText="1"/>
    </xf>
    <xf numFmtId="0" fontId="10" fillId="2" borderId="17" xfId="0" applyFont="1" applyFill="1" applyBorder="1" applyAlignment="1">
      <alignment horizontal="center" vertical="top" wrapText="1"/>
    </xf>
    <xf numFmtId="0" fontId="10" fillId="2" borderId="129" xfId="0" applyFont="1" applyFill="1" applyBorder="1" applyAlignment="1">
      <alignment horizontal="center" vertical="top" wrapText="1"/>
    </xf>
    <xf numFmtId="0" fontId="10" fillId="2" borderId="14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142" xfId="0" applyFont="1" applyFill="1" applyBorder="1" applyAlignment="1">
      <alignment horizontal="center" vertical="center" wrapText="1"/>
    </xf>
    <xf numFmtId="0" fontId="46" fillId="2" borderId="2" xfId="0" applyFont="1" applyFill="1" applyBorder="1" applyAlignment="1">
      <alignment horizontal="left" vertical="top" wrapText="1"/>
    </xf>
    <xf numFmtId="0" fontId="46" fillId="2" borderId="143" xfId="0" applyFont="1" applyFill="1" applyBorder="1" applyAlignment="1">
      <alignment horizontal="left" vertical="top" wrapText="1"/>
    </xf>
    <xf numFmtId="0" fontId="21" fillId="18" borderId="6" xfId="0" applyFont="1" applyFill="1" applyBorder="1" applyAlignment="1">
      <alignment horizontal="center" vertical="center" wrapText="1"/>
    </xf>
    <xf numFmtId="0" fontId="21" fillId="18" borderId="0" xfId="0" applyFont="1" applyFill="1" applyBorder="1" applyAlignment="1">
      <alignment horizontal="center" vertical="center" wrapText="1"/>
    </xf>
    <xf numFmtId="0" fontId="21" fillId="18" borderId="7" xfId="0" applyFont="1" applyFill="1" applyBorder="1" applyAlignment="1">
      <alignment horizontal="center" vertical="center" wrapText="1"/>
    </xf>
    <xf numFmtId="0" fontId="32" fillId="0" borderId="0" xfId="0" applyFont="1" applyFill="1" applyBorder="1" applyAlignment="1">
      <alignment horizontal="center" vertical="top" wrapText="1"/>
    </xf>
    <xf numFmtId="0" fontId="54" fillId="2" borderId="141" xfId="0" applyFont="1" applyFill="1" applyBorder="1" applyAlignment="1">
      <alignment horizontal="center"/>
    </xf>
    <xf numFmtId="0" fontId="54" fillId="2" borderId="4" xfId="0" applyFont="1" applyFill="1" applyBorder="1" applyAlignment="1">
      <alignment horizontal="center"/>
    </xf>
    <xf numFmtId="0" fontId="11" fillId="0" borderId="150" xfId="0" applyFont="1" applyFill="1" applyBorder="1" applyAlignment="1" applyProtection="1">
      <alignment horizontal="center" vertical="center" wrapText="1"/>
      <protection locked="0"/>
    </xf>
    <xf numFmtId="0" fontId="11" fillId="0" borderId="151" xfId="0" applyFont="1" applyFill="1" applyBorder="1" applyAlignment="1" applyProtection="1">
      <alignment horizontal="center" vertical="center" wrapText="1"/>
      <protection locked="0"/>
    </xf>
    <xf numFmtId="0" fontId="11" fillId="0" borderId="152" xfId="0" applyFont="1" applyFill="1" applyBorder="1" applyAlignment="1" applyProtection="1">
      <alignment horizontal="center" vertical="center" wrapText="1"/>
      <protection locked="0"/>
    </xf>
    <xf numFmtId="0" fontId="12" fillId="0" borderId="38" xfId="0" applyFont="1" applyBorder="1" applyAlignment="1">
      <alignment horizontal="left" vertical="center" wrapText="1"/>
    </xf>
    <xf numFmtId="0" fontId="21" fillId="2" borderId="10"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21" fillId="2" borderId="2" xfId="0" applyFont="1" applyFill="1" applyBorder="1" applyAlignment="1" applyProtection="1">
      <alignment horizontal="center" vertical="center" wrapText="1"/>
      <protection locked="0"/>
    </xf>
    <xf numFmtId="0" fontId="21" fillId="2" borderId="9" xfId="0" applyFont="1" applyFill="1" applyBorder="1" applyAlignment="1" applyProtection="1">
      <alignment horizontal="center" vertical="center" wrapText="1"/>
      <protection locked="0"/>
    </xf>
    <xf numFmtId="0" fontId="12" fillId="0" borderId="72" xfId="0" applyFont="1" applyBorder="1" applyAlignment="1">
      <alignment horizontal="left" vertical="center" wrapText="1"/>
    </xf>
    <xf numFmtId="0" fontId="12" fillId="0" borderId="153" xfId="0" applyFont="1" applyBorder="1" applyAlignment="1">
      <alignment horizontal="left" vertical="center" wrapText="1"/>
    </xf>
    <xf numFmtId="0" fontId="10" fillId="6" borderId="83" xfId="0" applyNumberFormat="1" applyFont="1" applyFill="1" applyBorder="1" applyAlignment="1" applyProtection="1">
      <alignment horizontal="center" vertical="center" wrapText="1"/>
    </xf>
    <xf numFmtId="2" fontId="10" fillId="6" borderId="1" xfId="0" applyNumberFormat="1" applyFont="1" applyFill="1" applyBorder="1" applyAlignment="1" applyProtection="1">
      <alignment horizontal="center" vertical="center" wrapText="1"/>
    </xf>
    <xf numFmtId="0" fontId="21" fillId="2" borderId="0" xfId="0" applyFont="1" applyFill="1" applyBorder="1" applyAlignment="1" applyProtection="1">
      <alignment horizontal="center" vertical="center" wrapText="1"/>
      <protection locked="0"/>
    </xf>
    <xf numFmtId="0" fontId="21" fillId="2" borderId="7" xfId="0" applyFont="1" applyFill="1" applyBorder="1" applyAlignment="1" applyProtection="1">
      <alignment horizontal="center" vertical="center" wrapText="1"/>
      <protection locked="0"/>
    </xf>
    <xf numFmtId="0" fontId="12" fillId="0" borderId="27" xfId="0" applyFont="1" applyBorder="1" applyAlignment="1">
      <alignment horizontal="left" vertical="center" wrapText="1"/>
    </xf>
    <xf numFmtId="0" fontId="11" fillId="0" borderId="100" xfId="0" applyFont="1" applyFill="1" applyBorder="1" applyAlignment="1" applyProtection="1">
      <alignment horizontal="center" vertical="center" wrapText="1"/>
      <protection locked="0"/>
    </xf>
    <xf numFmtId="0" fontId="11" fillId="0" borderId="65" xfId="0" applyFont="1" applyFill="1" applyBorder="1" applyAlignment="1" applyProtection="1">
      <alignment horizontal="center" vertical="center" wrapText="1"/>
      <protection locked="0"/>
    </xf>
    <xf numFmtId="0" fontId="11" fillId="0" borderId="146" xfId="0" applyFont="1" applyFill="1" applyBorder="1" applyAlignment="1" applyProtection="1">
      <alignment horizontal="center" vertical="center" wrapText="1"/>
      <protection locked="0"/>
    </xf>
    <xf numFmtId="0" fontId="12" fillId="0" borderId="37" xfId="0" applyFont="1" applyBorder="1" applyAlignment="1">
      <alignment horizontal="left" vertical="center" wrapText="1"/>
    </xf>
    <xf numFmtId="0" fontId="21" fillId="2" borderId="120" xfId="0" applyFont="1" applyFill="1" applyBorder="1" applyAlignment="1">
      <alignment horizontal="left" vertical="center" wrapText="1"/>
    </xf>
    <xf numFmtId="0" fontId="21" fillId="2" borderId="129" xfId="0" applyFont="1" applyFill="1" applyBorder="1" applyAlignment="1">
      <alignment horizontal="left" vertical="center" wrapText="1"/>
    </xf>
    <xf numFmtId="0" fontId="12" fillId="0" borderId="27" xfId="0" applyFont="1" applyFill="1" applyBorder="1" applyAlignment="1" applyProtection="1">
      <alignment horizontal="left" vertical="center" wrapText="1"/>
      <protection locked="0"/>
    </xf>
    <xf numFmtId="0" fontId="12" fillId="0" borderId="28" xfId="0" applyFont="1" applyFill="1" applyBorder="1" applyAlignment="1" applyProtection="1">
      <alignment horizontal="left" vertical="center" wrapText="1"/>
      <protection locked="0"/>
    </xf>
    <xf numFmtId="0" fontId="21" fillId="2" borderId="83" xfId="0" applyFont="1" applyFill="1" applyBorder="1" applyAlignment="1">
      <alignment horizontal="left" vertical="center" wrapText="1"/>
    </xf>
    <xf numFmtId="0" fontId="21" fillId="2" borderId="63" xfId="0" applyFont="1" applyFill="1" applyBorder="1" applyAlignment="1">
      <alignment horizontal="left" vertical="center" wrapText="1"/>
    </xf>
    <xf numFmtId="0" fontId="12" fillId="0" borderId="74" xfId="0" applyFont="1" applyBorder="1" applyAlignment="1">
      <alignment horizontal="left" vertical="center" wrapText="1"/>
    </xf>
    <xf numFmtId="0" fontId="12" fillId="0" borderId="67" xfId="0" applyFont="1" applyBorder="1" applyAlignment="1">
      <alignment horizontal="left" vertical="center" wrapText="1"/>
    </xf>
    <xf numFmtId="0" fontId="21" fillId="2" borderId="120"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21" fillId="2" borderId="41" xfId="0" applyFont="1" applyFill="1" applyBorder="1" applyAlignment="1">
      <alignment horizontal="center" vertical="center" wrapText="1"/>
    </xf>
    <xf numFmtId="0" fontId="21" fillId="2" borderId="42" xfId="0" applyFont="1" applyFill="1" applyBorder="1" applyAlignment="1">
      <alignment horizontal="center" vertical="center" wrapText="1"/>
    </xf>
    <xf numFmtId="0" fontId="21" fillId="2" borderId="43" xfId="0" applyFont="1" applyFill="1" applyBorder="1" applyAlignment="1">
      <alignment horizontal="center" vertical="center" wrapText="1"/>
    </xf>
    <xf numFmtId="0" fontId="11" fillId="0" borderId="147" xfId="0" applyFont="1" applyFill="1" applyBorder="1" applyAlignment="1" applyProtection="1">
      <alignment horizontal="center" vertical="center" wrapText="1"/>
      <protection locked="0"/>
    </xf>
    <xf numFmtId="0" fontId="11" fillId="0" borderId="148" xfId="0" applyFont="1" applyFill="1" applyBorder="1" applyAlignment="1" applyProtection="1">
      <alignment horizontal="center" vertical="center" wrapText="1"/>
      <protection locked="0"/>
    </xf>
    <xf numFmtId="0" fontId="11" fillId="0" borderId="149" xfId="0" applyFont="1" applyFill="1" applyBorder="1" applyAlignment="1" applyProtection="1">
      <alignment horizontal="center" vertical="center" wrapText="1"/>
      <protection locked="0"/>
    </xf>
    <xf numFmtId="0" fontId="17" fillId="0" borderId="100" xfId="0" applyFont="1" applyFill="1" applyBorder="1" applyAlignment="1" applyProtection="1">
      <alignment horizontal="center" vertical="center" wrapText="1"/>
      <protection locked="0"/>
    </xf>
    <xf numFmtId="0" fontId="17" fillId="0" borderId="65" xfId="0" applyFont="1" applyFill="1" applyBorder="1" applyAlignment="1" applyProtection="1">
      <alignment horizontal="center" vertical="center" wrapText="1"/>
      <protection locked="0"/>
    </xf>
    <xf numFmtId="0" fontId="17" fillId="0" borderId="146" xfId="0" applyFont="1" applyFill="1" applyBorder="1" applyAlignment="1" applyProtection="1">
      <alignment horizontal="center" vertical="center" wrapText="1"/>
      <protection locked="0"/>
    </xf>
    <xf numFmtId="0" fontId="71" fillId="0" borderId="0" xfId="0" applyFont="1" applyFill="1" applyAlignment="1">
      <alignment horizontal="left" vertical="center"/>
    </xf>
    <xf numFmtId="0" fontId="72" fillId="0" borderId="0" xfId="0" applyFont="1" applyAlignment="1">
      <alignment horizontal="left" vertical="center"/>
    </xf>
    <xf numFmtId="0" fontId="75" fillId="0" borderId="20" xfId="0" applyFont="1" applyBorder="1" applyAlignment="1">
      <alignment horizontal="center" vertical="center" wrapText="1"/>
    </xf>
    <xf numFmtId="0" fontId="75" fillId="0" borderId="21" xfId="0" applyFont="1" applyBorder="1" applyAlignment="1">
      <alignment horizontal="center" vertical="center" wrapText="1"/>
    </xf>
    <xf numFmtId="0" fontId="75" fillId="0" borderId="13" xfId="0" applyFont="1" applyBorder="1" applyAlignment="1">
      <alignment horizontal="center" vertical="center" wrapText="1"/>
    </xf>
    <xf numFmtId="0" fontId="75" fillId="0" borderId="22" xfId="0" applyFont="1" applyBorder="1" applyAlignment="1">
      <alignment horizontal="center" vertical="center" wrapText="1"/>
    </xf>
    <xf numFmtId="0" fontId="75" fillId="0" borderId="0" xfId="0" applyFont="1" applyBorder="1" applyAlignment="1">
      <alignment horizontal="center" vertical="center" wrapText="1"/>
    </xf>
    <xf numFmtId="0" fontId="75" fillId="0" borderId="23" xfId="0" applyFont="1" applyBorder="1" applyAlignment="1">
      <alignment horizontal="center" vertical="center" wrapText="1"/>
    </xf>
    <xf numFmtId="0" fontId="75" fillId="0" borderId="25" xfId="0" applyFont="1" applyBorder="1" applyAlignment="1">
      <alignment horizontal="center" vertical="center" wrapText="1"/>
    </xf>
    <xf numFmtId="0" fontId="75" fillId="0" borderId="15" xfId="0" applyFont="1" applyBorder="1" applyAlignment="1">
      <alignment horizontal="center" vertical="center" wrapText="1"/>
    </xf>
    <xf numFmtId="0" fontId="75" fillId="0" borderId="24" xfId="0" applyFont="1" applyBorder="1" applyAlignment="1">
      <alignment horizontal="center" vertical="center" wrapText="1"/>
    </xf>
    <xf numFmtId="0" fontId="7" fillId="6" borderId="3" xfId="0" applyFont="1" applyFill="1" applyBorder="1" applyAlignment="1">
      <alignment horizontal="left" vertical="top" wrapText="1"/>
    </xf>
    <xf numFmtId="0" fontId="7" fillId="6" borderId="4" xfId="0" applyFont="1" applyFill="1" applyBorder="1" applyAlignment="1">
      <alignment horizontal="left" vertical="top" wrapText="1"/>
    </xf>
    <xf numFmtId="0" fontId="7" fillId="6" borderId="5"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0"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2" xfId="0" applyFont="1" applyFill="1" applyBorder="1" applyAlignment="1">
      <alignment horizontal="left" vertical="top" wrapText="1"/>
    </xf>
    <xf numFmtId="0" fontId="7" fillId="6" borderId="9" xfId="0" applyFont="1" applyFill="1" applyBorder="1" applyAlignment="1">
      <alignment horizontal="left" vertical="top" wrapText="1"/>
    </xf>
    <xf numFmtId="49" fontId="11" fillId="0" borderId="100" xfId="0" applyNumberFormat="1" applyFont="1" applyFill="1" applyBorder="1" applyAlignment="1" applyProtection="1">
      <alignment horizontal="center" vertical="center" wrapText="1"/>
      <protection locked="0"/>
    </xf>
    <xf numFmtId="49" fontId="11" fillId="0" borderId="65" xfId="0" applyNumberFormat="1" applyFont="1" applyFill="1" applyBorder="1" applyAlignment="1" applyProtection="1">
      <alignment horizontal="center" vertical="center" wrapText="1"/>
      <protection locked="0"/>
    </xf>
    <xf numFmtId="49" fontId="11" fillId="0" borderId="146" xfId="0" applyNumberFormat="1" applyFont="1" applyFill="1" applyBorder="1" applyAlignment="1" applyProtection="1">
      <alignment horizontal="center" vertical="center" wrapText="1"/>
      <protection locked="0"/>
    </xf>
    <xf numFmtId="0" fontId="11" fillId="2" borderId="19"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2" fillId="2" borderId="10" xfId="0" applyFont="1" applyFill="1" applyBorder="1" applyAlignment="1">
      <alignment horizontal="center" vertical="top" wrapText="1"/>
    </xf>
    <xf numFmtId="0" fontId="12" fillId="2" borderId="17" xfId="0" applyFont="1" applyFill="1" applyBorder="1" applyAlignment="1">
      <alignment horizontal="center" vertical="top" wrapText="1"/>
    </xf>
    <xf numFmtId="0" fontId="7" fillId="2" borderId="28"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7" fillId="6" borderId="26" xfId="0" applyFont="1" applyFill="1" applyBorder="1" applyAlignment="1" applyProtection="1">
      <alignment horizontal="center" vertical="center" wrapText="1"/>
      <protection locked="0"/>
    </xf>
    <xf numFmtId="0" fontId="7" fillId="6" borderId="28" xfId="0" applyFont="1" applyFill="1" applyBorder="1" applyAlignment="1" applyProtection="1">
      <alignment horizontal="center" vertical="center" wrapText="1"/>
      <protection locked="0"/>
    </xf>
    <xf numFmtId="2" fontId="13" fillId="2" borderId="28"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26" fillId="0" borderId="0" xfId="0" applyFont="1" applyBorder="1" applyAlignment="1">
      <alignment horizontal="center" wrapText="1"/>
    </xf>
    <xf numFmtId="0" fontId="4" fillId="2" borderId="10" xfId="0" applyFont="1" applyFill="1" applyBorder="1" applyAlignment="1">
      <alignment wrapText="1"/>
    </xf>
    <xf numFmtId="0" fontId="4" fillId="2" borderId="17" xfId="0" applyFont="1" applyFill="1" applyBorder="1" applyAlignment="1">
      <alignment wrapText="1"/>
    </xf>
    <xf numFmtId="0" fontId="4" fillId="2" borderId="19" xfId="0" applyFont="1" applyFill="1" applyBorder="1" applyAlignment="1">
      <alignment wrapText="1"/>
    </xf>
    <xf numFmtId="0" fontId="21" fillId="2" borderId="10" xfId="0" applyFont="1" applyFill="1" applyBorder="1" applyAlignment="1">
      <alignment horizontal="center" wrapText="1"/>
    </xf>
    <xf numFmtId="0" fontId="21" fillId="2" borderId="17" xfId="0" applyFont="1" applyFill="1" applyBorder="1" applyAlignment="1">
      <alignment horizontal="center" wrapText="1"/>
    </xf>
    <xf numFmtId="0" fontId="21" fillId="2" borderId="19" xfId="0" applyFont="1" applyFill="1" applyBorder="1" applyAlignment="1">
      <alignment horizontal="center" wrapText="1"/>
    </xf>
    <xf numFmtId="0" fontId="2" fillId="2" borderId="12" xfId="0" applyFont="1" applyFill="1" applyBorder="1" applyAlignment="1">
      <alignment vertical="center" wrapText="1"/>
    </xf>
    <xf numFmtId="0" fontId="2" fillId="2" borderId="10" xfId="0" applyFont="1" applyFill="1" applyBorder="1" applyAlignment="1">
      <alignment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26" fillId="0" borderId="0" xfId="0" applyFont="1" applyBorder="1" applyAlignment="1">
      <alignment wrapText="1"/>
    </xf>
    <xf numFmtId="184" fontId="3" fillId="2" borderId="83" xfId="0" applyNumberFormat="1" applyFont="1" applyFill="1" applyBorder="1" applyAlignment="1">
      <alignment horizontal="center" vertical="center"/>
    </xf>
    <xf numFmtId="184" fontId="3" fillId="2" borderId="1" xfId="0" applyNumberFormat="1" applyFont="1" applyFill="1" applyBorder="1" applyAlignment="1">
      <alignment horizontal="center" vertical="center"/>
    </xf>
    <xf numFmtId="0" fontId="0" fillId="2" borderId="10" xfId="0" applyFill="1" applyBorder="1" applyAlignment="1">
      <alignment horizontal="center" vertical="center"/>
    </xf>
    <xf numFmtId="0" fontId="0" fillId="2" borderId="17" xfId="0" applyFill="1" applyBorder="1" applyAlignment="1">
      <alignment horizontal="center" vertical="center"/>
    </xf>
    <xf numFmtId="2" fontId="13" fillId="2" borderId="53" xfId="0" applyNumberFormat="1" applyFont="1" applyFill="1" applyBorder="1" applyAlignment="1">
      <alignment horizontal="center" vertical="center" wrapText="1"/>
    </xf>
    <xf numFmtId="2" fontId="13" fillId="2" borderId="54" xfId="0" applyNumberFormat="1" applyFont="1" applyFill="1" applyBorder="1" applyAlignment="1">
      <alignment horizontal="center" vertical="center" wrapText="1"/>
    </xf>
    <xf numFmtId="0" fontId="2" fillId="2" borderId="12" xfId="0" applyFont="1" applyFill="1" applyBorder="1" applyAlignment="1">
      <alignment horizontal="left" vertical="center" wrapText="1"/>
    </xf>
    <xf numFmtId="0" fontId="2" fillId="2" borderId="10" xfId="0" applyFont="1" applyFill="1" applyBorder="1" applyAlignment="1">
      <alignment horizontal="left" vertical="center" wrapText="1"/>
    </xf>
    <xf numFmtId="191" fontId="74" fillId="0" borderId="0" xfId="0" applyNumberFormat="1" applyFont="1" applyAlignment="1">
      <alignment horizontal="center"/>
    </xf>
    <xf numFmtId="184" fontId="4" fillId="2" borderId="83" xfId="0" applyNumberFormat="1" applyFont="1" applyFill="1" applyBorder="1" applyAlignment="1">
      <alignment horizontal="center" vertical="center" wrapText="1"/>
    </xf>
    <xf numFmtId="184" fontId="4" fillId="2" borderId="1" xfId="0" applyNumberFormat="1" applyFont="1" applyFill="1" applyBorder="1" applyAlignment="1">
      <alignment horizontal="center" vertical="center" wrapText="1"/>
    </xf>
    <xf numFmtId="2" fontId="13" fillId="2" borderId="26" xfId="0" applyNumberFormat="1" applyFont="1" applyFill="1" applyBorder="1" applyAlignment="1">
      <alignment horizontal="center" vertical="center" wrapText="1"/>
    </xf>
    <xf numFmtId="2" fontId="13" fillId="2" borderId="39" xfId="0" applyNumberFormat="1" applyFont="1" applyFill="1" applyBorder="1" applyAlignment="1">
      <alignment horizontal="center" vertical="center" wrapText="1"/>
    </xf>
    <xf numFmtId="0" fontId="21" fillId="2" borderId="4" xfId="0" applyFont="1" applyFill="1" applyBorder="1" applyAlignment="1">
      <alignment horizontal="left" wrapText="1"/>
    </xf>
    <xf numFmtId="0" fontId="37" fillId="0" borderId="2" xfId="0" applyFont="1" applyBorder="1" applyAlignment="1">
      <alignment horizontal="left" wrapText="1"/>
    </xf>
    <xf numFmtId="0" fontId="7" fillId="6" borderId="69" xfId="0" applyFont="1" applyFill="1" applyBorder="1" applyAlignment="1" applyProtection="1">
      <alignment horizontal="left" vertical="center" wrapText="1"/>
      <protection locked="0"/>
    </xf>
    <xf numFmtId="0" fontId="7" fillId="6" borderId="70" xfId="0" applyFont="1" applyFill="1" applyBorder="1" applyAlignment="1" applyProtection="1">
      <alignment horizontal="left" vertical="center" wrapText="1"/>
      <protection locked="0"/>
    </xf>
    <xf numFmtId="0" fontId="12" fillId="2" borderId="4" xfId="0" applyFont="1" applyFill="1" applyBorder="1" applyAlignment="1">
      <alignment horizontal="left" wrapText="1"/>
    </xf>
    <xf numFmtId="0" fontId="7" fillId="6" borderId="71" xfId="0" applyFont="1" applyFill="1" applyBorder="1" applyAlignment="1" applyProtection="1">
      <alignment horizontal="left" vertical="center" wrapText="1"/>
      <protection locked="0"/>
    </xf>
    <xf numFmtId="0" fontId="21" fillId="2" borderId="4" xfId="0" applyFont="1" applyFill="1" applyBorder="1" applyAlignment="1">
      <alignment horizontal="left" vertical="center" wrapText="1"/>
    </xf>
    <xf numFmtId="0" fontId="12" fillId="2" borderId="4" xfId="0" applyFont="1" applyFill="1" applyBorder="1" applyAlignment="1">
      <alignment horizontal="left" vertical="center" wrapText="1"/>
    </xf>
    <xf numFmtId="43" fontId="7" fillId="6" borderId="69" xfId="2" applyFont="1" applyFill="1" applyBorder="1" applyAlignment="1" applyProtection="1">
      <alignment horizontal="left" vertical="center" wrapText="1"/>
      <protection locked="0"/>
    </xf>
    <xf numFmtId="43" fontId="7" fillId="6" borderId="70" xfId="2" applyFont="1" applyFill="1" applyBorder="1" applyAlignment="1" applyProtection="1">
      <alignment horizontal="left" vertical="center" wrapText="1"/>
      <protection locked="0"/>
    </xf>
    <xf numFmtId="43" fontId="7" fillId="6" borderId="71" xfId="2" applyFont="1" applyFill="1" applyBorder="1" applyAlignment="1" applyProtection="1">
      <alignment horizontal="left" vertical="center" wrapText="1"/>
      <protection locked="0"/>
    </xf>
    <xf numFmtId="0" fontId="4" fillId="2" borderId="4" xfId="0" applyFont="1" applyFill="1" applyBorder="1" applyAlignment="1">
      <alignment horizontal="left" vertical="center" wrapText="1"/>
    </xf>
    <xf numFmtId="0" fontId="4" fillId="2" borderId="2" xfId="0" applyFont="1" applyFill="1" applyBorder="1" applyAlignment="1">
      <alignment horizontal="left" vertical="center" wrapText="1"/>
    </xf>
    <xf numFmtId="0" fontId="0" fillId="6" borderId="3" xfId="0" applyFill="1" applyBorder="1" applyAlignment="1" applyProtection="1">
      <alignment horizontal="left" vertical="top"/>
      <protection locked="0"/>
    </xf>
    <xf numFmtId="0" fontId="0" fillId="6" borderId="4" xfId="0" applyFill="1" applyBorder="1" applyAlignment="1" applyProtection="1">
      <alignment horizontal="left" vertical="top"/>
      <protection locked="0"/>
    </xf>
    <xf numFmtId="0" fontId="0" fillId="6" borderId="5" xfId="0" applyFill="1" applyBorder="1" applyAlignment="1" applyProtection="1">
      <alignment horizontal="left" vertical="top"/>
      <protection locked="0"/>
    </xf>
    <xf numFmtId="0" fontId="0" fillId="6" borderId="6" xfId="0" applyFill="1" applyBorder="1" applyAlignment="1" applyProtection="1">
      <alignment horizontal="left" vertical="top"/>
      <protection locked="0"/>
    </xf>
    <xf numFmtId="0" fontId="0" fillId="6" borderId="0" xfId="0" applyFill="1" applyBorder="1" applyAlignment="1" applyProtection="1">
      <alignment horizontal="left" vertical="top"/>
      <protection locked="0"/>
    </xf>
    <xf numFmtId="0" fontId="0" fillId="6" borderId="7" xfId="0" applyFill="1" applyBorder="1" applyAlignment="1" applyProtection="1">
      <alignment horizontal="left" vertical="top"/>
      <protection locked="0"/>
    </xf>
    <xf numFmtId="0" fontId="0" fillId="6" borderId="8" xfId="0" applyFill="1" applyBorder="1" applyAlignment="1" applyProtection="1">
      <alignment horizontal="left" vertical="top"/>
      <protection locked="0"/>
    </xf>
    <xf numFmtId="0" fontId="0" fillId="6" borderId="2" xfId="0" applyFill="1" applyBorder="1" applyAlignment="1" applyProtection="1">
      <alignment horizontal="left" vertical="top"/>
      <protection locked="0"/>
    </xf>
    <xf numFmtId="0" fontId="0" fillId="6" borderId="9" xfId="0" applyFill="1" applyBorder="1" applyAlignment="1" applyProtection="1">
      <alignment horizontal="left" vertical="top"/>
      <protection locked="0"/>
    </xf>
    <xf numFmtId="0" fontId="2" fillId="6" borderId="71" xfId="0" applyFont="1" applyFill="1" applyBorder="1" applyAlignment="1" applyProtection="1">
      <alignment horizontal="left" vertical="center" wrapText="1"/>
      <protection locked="0"/>
    </xf>
    <xf numFmtId="43" fontId="96" fillId="6" borderId="71" xfId="3" applyNumberFormat="1" applyFont="1" applyFill="1" applyBorder="1" applyAlignment="1" applyProtection="1">
      <alignment horizontal="left" vertical="center" wrapText="1"/>
      <protection locked="0"/>
    </xf>
    <xf numFmtId="43" fontId="12" fillId="6" borderId="71" xfId="2" applyFont="1" applyFill="1" applyBorder="1" applyAlignment="1" applyProtection="1">
      <alignment horizontal="left" vertical="center" wrapText="1"/>
      <protection locked="0"/>
    </xf>
    <xf numFmtId="0" fontId="2" fillId="6" borderId="69" xfId="0" applyFont="1" applyFill="1" applyBorder="1" applyAlignment="1" applyProtection="1">
      <alignment horizontal="left" vertical="center" wrapText="1"/>
      <protection locked="0"/>
    </xf>
    <xf numFmtId="43" fontId="12" fillId="6" borderId="69" xfId="2" applyFont="1" applyFill="1" applyBorder="1" applyAlignment="1" applyProtection="1">
      <alignment horizontal="left" vertical="center" wrapText="1"/>
      <protection locked="0"/>
    </xf>
    <xf numFmtId="0" fontId="8" fillId="2" borderId="17" xfId="0" applyFont="1" applyFill="1" applyBorder="1" applyAlignment="1">
      <alignment vertical="center" wrapText="1"/>
    </xf>
    <xf numFmtId="0" fontId="8" fillId="2" borderId="19" xfId="0" applyFont="1" applyFill="1" applyBorder="1" applyAlignment="1">
      <alignment vertical="center" wrapText="1"/>
    </xf>
  </cellXfs>
  <cellStyles count="5">
    <cellStyle name="Euro" xfId="1" xr:uid="{BA98470C-8CC0-41D7-A02B-1E8FBC9057D3}"/>
    <cellStyle name="Komma" xfId="2" builtinId="3"/>
    <cellStyle name="Link" xfId="3" builtinId="8"/>
    <cellStyle name="Standard" xfId="0" builtinId="0"/>
    <cellStyle name="Währung" xfId="4"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4.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6.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7.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8.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9.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20.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2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2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1" Type="http://schemas.openxmlformats.org/officeDocument/2006/relationships/image" Target="../media/image7.jpeg"/></Relationships>
</file>

<file path=xl/drawings/_rels/drawing8.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xdr:from>
      <xdr:col>0</xdr:col>
      <xdr:colOff>0</xdr:colOff>
      <xdr:row>17</xdr:row>
      <xdr:rowOff>9525</xdr:rowOff>
    </xdr:from>
    <xdr:to>
      <xdr:col>1</xdr:col>
      <xdr:colOff>0</xdr:colOff>
      <xdr:row>18</xdr:row>
      <xdr:rowOff>0</xdr:rowOff>
    </xdr:to>
    <xdr:sp macro="" textlink="">
      <xdr:nvSpPr>
        <xdr:cNvPr id="37252" name="Rectangle 1">
          <a:extLst>
            <a:ext uri="{FF2B5EF4-FFF2-40B4-BE49-F238E27FC236}">
              <a16:creationId xmlns:a16="http://schemas.microsoft.com/office/drawing/2014/main" id="{BAC14411-46E0-2465-DDF3-1E35BDF40CCA}"/>
            </a:ext>
          </a:extLst>
        </xdr:cNvPr>
        <xdr:cNvSpPr>
          <a:spLocks noChangeArrowheads="1"/>
        </xdr:cNvSpPr>
      </xdr:nvSpPr>
      <xdr:spPr bwMode="auto">
        <a:xfrm>
          <a:off x="0" y="5133975"/>
          <a:ext cx="4286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276225</xdr:colOff>
      <xdr:row>0</xdr:row>
      <xdr:rowOff>161925</xdr:rowOff>
    </xdr:from>
    <xdr:to>
      <xdr:col>1</xdr:col>
      <xdr:colOff>3448050</xdr:colOff>
      <xdr:row>3</xdr:row>
      <xdr:rowOff>133350</xdr:rowOff>
    </xdr:to>
    <xdr:pic>
      <xdr:nvPicPr>
        <xdr:cNvPr id="37253" name="Grafik 1">
          <a:extLst>
            <a:ext uri="{FF2B5EF4-FFF2-40B4-BE49-F238E27FC236}">
              <a16:creationId xmlns:a16="http://schemas.microsoft.com/office/drawing/2014/main" id="{E2DC7BF0-B741-59AB-4F4C-62BD0A677D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61925"/>
          <a:ext cx="360045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1800225</xdr:colOff>
      <xdr:row>0</xdr:row>
      <xdr:rowOff>19050</xdr:rowOff>
    </xdr:from>
    <xdr:to>
      <xdr:col>3</xdr:col>
      <xdr:colOff>676275</xdr:colOff>
      <xdr:row>1</xdr:row>
      <xdr:rowOff>85725</xdr:rowOff>
    </xdr:to>
    <xdr:pic>
      <xdr:nvPicPr>
        <xdr:cNvPr id="6978" name="Grafik 1">
          <a:extLst>
            <a:ext uri="{FF2B5EF4-FFF2-40B4-BE49-F238E27FC236}">
              <a16:creationId xmlns:a16="http://schemas.microsoft.com/office/drawing/2014/main" id="{55EE97FD-0271-15C1-8522-617F0776A7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2875" y="19050"/>
          <a:ext cx="24574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1800225</xdr:colOff>
      <xdr:row>0</xdr:row>
      <xdr:rowOff>47625</xdr:rowOff>
    </xdr:from>
    <xdr:to>
      <xdr:col>3</xdr:col>
      <xdr:colOff>704850</xdr:colOff>
      <xdr:row>1</xdr:row>
      <xdr:rowOff>133350</xdr:rowOff>
    </xdr:to>
    <xdr:pic>
      <xdr:nvPicPr>
        <xdr:cNvPr id="23361" name="Grafik 1">
          <a:extLst>
            <a:ext uri="{FF2B5EF4-FFF2-40B4-BE49-F238E27FC236}">
              <a16:creationId xmlns:a16="http://schemas.microsoft.com/office/drawing/2014/main" id="{06D025A2-EB46-C131-0390-DEA776887D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2875" y="47625"/>
          <a:ext cx="248602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466725</xdr:colOff>
      <xdr:row>0</xdr:row>
      <xdr:rowOff>47625</xdr:rowOff>
    </xdr:from>
    <xdr:to>
      <xdr:col>6</xdr:col>
      <xdr:colOff>876300</xdr:colOff>
      <xdr:row>1</xdr:row>
      <xdr:rowOff>114300</xdr:rowOff>
    </xdr:to>
    <xdr:pic>
      <xdr:nvPicPr>
        <xdr:cNvPr id="8002" name="Grafik 1">
          <a:extLst>
            <a:ext uri="{FF2B5EF4-FFF2-40B4-BE49-F238E27FC236}">
              <a16:creationId xmlns:a16="http://schemas.microsoft.com/office/drawing/2014/main" id="{537913AF-4E04-FAE4-EC32-4B86AD7BCE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38600" y="47625"/>
          <a:ext cx="23241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1685925</xdr:colOff>
      <xdr:row>0</xdr:row>
      <xdr:rowOff>28575</xdr:rowOff>
    </xdr:from>
    <xdr:to>
      <xdr:col>3</xdr:col>
      <xdr:colOff>609600</xdr:colOff>
      <xdr:row>1</xdr:row>
      <xdr:rowOff>114300</xdr:rowOff>
    </xdr:to>
    <xdr:pic>
      <xdr:nvPicPr>
        <xdr:cNvPr id="9026" name="Grafik 1">
          <a:extLst>
            <a:ext uri="{FF2B5EF4-FFF2-40B4-BE49-F238E27FC236}">
              <a16:creationId xmlns:a16="http://schemas.microsoft.com/office/drawing/2014/main" id="{14A0ECA1-A7FE-29F1-0D4D-B5BDC048FB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48100" y="28575"/>
          <a:ext cx="249555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1609725</xdr:colOff>
      <xdr:row>0</xdr:row>
      <xdr:rowOff>38100</xdr:rowOff>
    </xdr:from>
    <xdr:to>
      <xdr:col>3</xdr:col>
      <xdr:colOff>676275</xdr:colOff>
      <xdr:row>1</xdr:row>
      <xdr:rowOff>142875</xdr:rowOff>
    </xdr:to>
    <xdr:pic>
      <xdr:nvPicPr>
        <xdr:cNvPr id="24385" name="Grafik 1">
          <a:extLst>
            <a:ext uri="{FF2B5EF4-FFF2-40B4-BE49-F238E27FC236}">
              <a16:creationId xmlns:a16="http://schemas.microsoft.com/office/drawing/2014/main" id="{80876CB7-120D-439E-3B2C-10766C3FF9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71900" y="38100"/>
          <a:ext cx="2638425"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4</xdr:col>
      <xdr:colOff>276225</xdr:colOff>
      <xdr:row>0</xdr:row>
      <xdr:rowOff>0</xdr:rowOff>
    </xdr:from>
    <xdr:to>
      <xdr:col>6</xdr:col>
      <xdr:colOff>981075</xdr:colOff>
      <xdr:row>1</xdr:row>
      <xdr:rowOff>142875</xdr:rowOff>
    </xdr:to>
    <xdr:pic>
      <xdr:nvPicPr>
        <xdr:cNvPr id="10051" name="Grafik 1">
          <a:extLst>
            <a:ext uri="{FF2B5EF4-FFF2-40B4-BE49-F238E27FC236}">
              <a16:creationId xmlns:a16="http://schemas.microsoft.com/office/drawing/2014/main" id="{646E23E4-98AF-666E-54AB-5B87AD92CA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86175" y="0"/>
          <a:ext cx="2743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438150</xdr:colOff>
      <xdr:row>0</xdr:row>
      <xdr:rowOff>28575</xdr:rowOff>
    </xdr:from>
    <xdr:to>
      <xdr:col>12</xdr:col>
      <xdr:colOff>9525</xdr:colOff>
      <xdr:row>2</xdr:row>
      <xdr:rowOff>57150</xdr:rowOff>
    </xdr:to>
    <xdr:pic>
      <xdr:nvPicPr>
        <xdr:cNvPr id="11082" name="Grafik 1">
          <a:extLst>
            <a:ext uri="{FF2B5EF4-FFF2-40B4-BE49-F238E27FC236}">
              <a16:creationId xmlns:a16="http://schemas.microsoft.com/office/drawing/2014/main" id="{312FFEA9-FD75-FD6A-3625-518051B0AF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0" y="28575"/>
          <a:ext cx="284797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7</xdr:col>
      <xdr:colOff>371475</xdr:colOff>
      <xdr:row>0</xdr:row>
      <xdr:rowOff>0</xdr:rowOff>
    </xdr:from>
    <xdr:to>
      <xdr:col>12</xdr:col>
      <xdr:colOff>647700</xdr:colOff>
      <xdr:row>2</xdr:row>
      <xdr:rowOff>9525</xdr:rowOff>
    </xdr:to>
    <xdr:pic>
      <xdr:nvPicPr>
        <xdr:cNvPr id="12099" name="Grafik 1">
          <a:extLst>
            <a:ext uri="{FF2B5EF4-FFF2-40B4-BE49-F238E27FC236}">
              <a16:creationId xmlns:a16="http://schemas.microsoft.com/office/drawing/2014/main" id="{52AFC1C8-6FD9-D6E9-D9BC-F076E7BCE9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0"/>
          <a:ext cx="275272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352425</xdr:colOff>
          <xdr:row>6</xdr:row>
          <xdr:rowOff>57150</xdr:rowOff>
        </xdr:from>
        <xdr:to>
          <xdr:col>7</xdr:col>
          <xdr:colOff>114300</xdr:colOff>
          <xdr:row>8</xdr:row>
          <xdr:rowOff>28575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9CCF30A0-D126-8450-D711-B120D91DAA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342900</xdr:colOff>
          <xdr:row>7</xdr:row>
          <xdr:rowOff>152400</xdr:rowOff>
        </xdr:from>
        <xdr:to>
          <xdr:col>7</xdr:col>
          <xdr:colOff>104775</xdr:colOff>
          <xdr:row>9</xdr:row>
          <xdr:rowOff>9525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11AA896C-F1EC-7CC4-50F9-8A9EDB548E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5</xdr:col>
      <xdr:colOff>400050</xdr:colOff>
      <xdr:row>0</xdr:row>
      <xdr:rowOff>38100</xdr:rowOff>
    </xdr:from>
    <xdr:to>
      <xdr:col>9</xdr:col>
      <xdr:colOff>666750</xdr:colOff>
      <xdr:row>2</xdr:row>
      <xdr:rowOff>0</xdr:rowOff>
    </xdr:to>
    <xdr:pic>
      <xdr:nvPicPr>
        <xdr:cNvPr id="13234" name="Grafik 1">
          <a:extLst>
            <a:ext uri="{FF2B5EF4-FFF2-40B4-BE49-F238E27FC236}">
              <a16:creationId xmlns:a16="http://schemas.microsoft.com/office/drawing/2014/main" id="{5C147EB3-4C7F-952B-0898-DE11BD2AF6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81425" y="38100"/>
          <a:ext cx="25050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19</xdr:col>
      <xdr:colOff>523875</xdr:colOff>
      <xdr:row>16</xdr:row>
      <xdr:rowOff>142875</xdr:rowOff>
    </xdr:from>
    <xdr:to>
      <xdr:col>21</xdr:col>
      <xdr:colOff>314325</xdr:colOff>
      <xdr:row>32</xdr:row>
      <xdr:rowOff>161925</xdr:rowOff>
    </xdr:to>
    <xdr:sp macro="" textlink="">
      <xdr:nvSpPr>
        <xdr:cNvPr id="42124" name="AutoShape 22">
          <a:extLst>
            <a:ext uri="{FF2B5EF4-FFF2-40B4-BE49-F238E27FC236}">
              <a16:creationId xmlns:a16="http://schemas.microsoft.com/office/drawing/2014/main" id="{48645638-FD05-47E4-D3C8-D298229B401E}"/>
            </a:ext>
          </a:extLst>
        </xdr:cNvPr>
        <xdr:cNvSpPr>
          <a:spLocks noChangeArrowheads="1"/>
        </xdr:cNvSpPr>
      </xdr:nvSpPr>
      <xdr:spPr bwMode="auto">
        <a:xfrm>
          <a:off x="8943975" y="3133725"/>
          <a:ext cx="609600" cy="3067050"/>
        </a:xfrm>
        <a:prstGeom prst="downArrow">
          <a:avLst>
            <a:gd name="adj1" fmla="val 50000"/>
            <a:gd name="adj2" fmla="val 146628"/>
          </a:avLst>
        </a:prstGeom>
        <a:gradFill rotWithShape="1">
          <a:gsLst>
            <a:gs pos="0">
              <a:srgbClr val="FF0000"/>
            </a:gs>
            <a:gs pos="100000">
              <a:srgbClr val="760000"/>
            </a:gs>
          </a:gsLst>
          <a:lin ang="5400000" scaled="1"/>
        </a:gradFill>
        <a:ln w="9525">
          <a:solidFill>
            <a:srgbClr val="000000"/>
          </a:solidFill>
          <a:miter lim="800000"/>
          <a:headEnd/>
          <a:tailEnd/>
        </a:ln>
      </xdr:spPr>
    </xdr:sp>
    <xdr:clientData/>
  </xdr:twoCellAnchor>
  <xdr:twoCellAnchor>
    <xdr:from>
      <xdr:col>11</xdr:col>
      <xdr:colOff>190500</xdr:colOff>
      <xdr:row>56</xdr:row>
      <xdr:rowOff>38100</xdr:rowOff>
    </xdr:from>
    <xdr:to>
      <xdr:col>11</xdr:col>
      <xdr:colOff>742950</xdr:colOff>
      <xdr:row>61</xdr:row>
      <xdr:rowOff>47625</xdr:rowOff>
    </xdr:to>
    <xdr:sp macro="" textlink="">
      <xdr:nvSpPr>
        <xdr:cNvPr id="42125" name="AutoShape 25">
          <a:extLst>
            <a:ext uri="{FF2B5EF4-FFF2-40B4-BE49-F238E27FC236}">
              <a16:creationId xmlns:a16="http://schemas.microsoft.com/office/drawing/2014/main" id="{0F1B60EF-EB65-98E6-A3E9-3449ED4F946E}"/>
            </a:ext>
          </a:extLst>
        </xdr:cNvPr>
        <xdr:cNvSpPr>
          <a:spLocks noChangeArrowheads="1"/>
        </xdr:cNvSpPr>
      </xdr:nvSpPr>
      <xdr:spPr bwMode="auto">
        <a:xfrm>
          <a:off x="4962525" y="10696575"/>
          <a:ext cx="552450" cy="819150"/>
        </a:xfrm>
        <a:prstGeom prst="upArrow">
          <a:avLst>
            <a:gd name="adj1" fmla="val 50000"/>
            <a:gd name="adj2" fmla="val 38428"/>
          </a:avLst>
        </a:prstGeom>
        <a:gradFill rotWithShape="1">
          <a:gsLst>
            <a:gs pos="0">
              <a:srgbClr val="FF0000"/>
            </a:gs>
            <a:gs pos="100000">
              <a:srgbClr val="760000"/>
            </a:gs>
          </a:gsLst>
          <a:lin ang="5400000" scaled="1"/>
        </a:gradFill>
        <a:ln w="9525">
          <a:solidFill>
            <a:srgbClr val="000000"/>
          </a:solidFill>
          <a:miter lim="800000"/>
          <a:headEnd/>
          <a:tailEnd/>
        </a:ln>
      </xdr:spPr>
    </xdr:sp>
    <xdr:clientData/>
  </xdr:twoCellAnchor>
  <xdr:twoCellAnchor>
    <xdr:from>
      <xdr:col>23</xdr:col>
      <xdr:colOff>19050</xdr:colOff>
      <xdr:row>55</xdr:row>
      <xdr:rowOff>85725</xdr:rowOff>
    </xdr:from>
    <xdr:to>
      <xdr:col>24</xdr:col>
      <xdr:colOff>9525</xdr:colOff>
      <xdr:row>60</xdr:row>
      <xdr:rowOff>152400</xdr:rowOff>
    </xdr:to>
    <xdr:sp macro="" textlink="">
      <xdr:nvSpPr>
        <xdr:cNvPr id="42126" name="AutoShape 26">
          <a:extLst>
            <a:ext uri="{FF2B5EF4-FFF2-40B4-BE49-F238E27FC236}">
              <a16:creationId xmlns:a16="http://schemas.microsoft.com/office/drawing/2014/main" id="{A302BC20-E0E1-0539-1132-BB6B884F3A14}"/>
            </a:ext>
          </a:extLst>
        </xdr:cNvPr>
        <xdr:cNvSpPr>
          <a:spLocks noChangeArrowheads="1"/>
        </xdr:cNvSpPr>
      </xdr:nvSpPr>
      <xdr:spPr bwMode="auto">
        <a:xfrm>
          <a:off x="11049000" y="10582275"/>
          <a:ext cx="552450" cy="876300"/>
        </a:xfrm>
        <a:prstGeom prst="upArrow">
          <a:avLst>
            <a:gd name="adj1" fmla="val 50000"/>
            <a:gd name="adj2" fmla="val 40669"/>
          </a:avLst>
        </a:prstGeom>
        <a:gradFill rotWithShape="1">
          <a:gsLst>
            <a:gs pos="0">
              <a:srgbClr val="FF0000"/>
            </a:gs>
            <a:gs pos="100000">
              <a:srgbClr val="760000"/>
            </a:gs>
          </a:gsLst>
          <a:lin ang="5400000" scaled="1"/>
        </a:gradFill>
        <a:ln w="9525" algn="ctr">
          <a:solidFill>
            <a:srgbClr val="000000"/>
          </a:solidFill>
          <a:miter lim="800000"/>
          <a:headEnd/>
          <a:tailEnd/>
        </a:ln>
      </xdr:spPr>
    </xdr:sp>
    <xdr:clientData/>
  </xdr:twoCellAnchor>
  <xdr:twoCellAnchor>
    <xdr:from>
      <xdr:col>13</xdr:col>
      <xdr:colOff>485775</xdr:colOff>
      <xdr:row>59</xdr:row>
      <xdr:rowOff>19050</xdr:rowOff>
    </xdr:from>
    <xdr:to>
      <xdr:col>21</xdr:col>
      <xdr:colOff>914400</xdr:colOff>
      <xdr:row>61</xdr:row>
      <xdr:rowOff>38100</xdr:rowOff>
    </xdr:to>
    <xdr:sp macro="" textlink="">
      <xdr:nvSpPr>
        <xdr:cNvPr id="42127" name="AutoShape 27">
          <a:extLst>
            <a:ext uri="{FF2B5EF4-FFF2-40B4-BE49-F238E27FC236}">
              <a16:creationId xmlns:a16="http://schemas.microsoft.com/office/drawing/2014/main" id="{EFD29266-607C-B483-201D-574FF873E3B2}"/>
            </a:ext>
          </a:extLst>
        </xdr:cNvPr>
        <xdr:cNvSpPr>
          <a:spLocks noChangeArrowheads="1"/>
        </xdr:cNvSpPr>
      </xdr:nvSpPr>
      <xdr:spPr bwMode="auto">
        <a:xfrm rot="10800000">
          <a:off x="6438900" y="11163300"/>
          <a:ext cx="3714750" cy="342900"/>
        </a:xfrm>
        <a:custGeom>
          <a:avLst/>
          <a:gdLst>
            <a:gd name="T0" fmla="*/ 2147483646 w 21600"/>
            <a:gd name="T1" fmla="*/ 0 h 21600"/>
            <a:gd name="T2" fmla="*/ 0 w 21600"/>
            <a:gd name="T3" fmla="*/ 2147483646 h 21600"/>
            <a:gd name="T4" fmla="*/ 2147483646 w 21600"/>
            <a:gd name="T5" fmla="*/ 2147483646 h 21600"/>
            <a:gd name="T6" fmla="*/ 2147483646 w 21600"/>
            <a:gd name="T7" fmla="*/ 2147483646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gradFill rotWithShape="1">
          <a:gsLst>
            <a:gs pos="0">
              <a:srgbClr val="FF0000"/>
            </a:gs>
            <a:gs pos="100000">
              <a:srgbClr val="760000"/>
            </a:gs>
          </a:gsLst>
          <a:lin ang="5400000" scaled="1"/>
        </a:gradFill>
        <a:ln w="9525" algn="ctr">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8</xdr:col>
          <xdr:colOff>161925</xdr:colOff>
          <xdr:row>48</xdr:row>
          <xdr:rowOff>57150</xdr:rowOff>
        </xdr:from>
        <xdr:to>
          <xdr:col>11</xdr:col>
          <xdr:colOff>923925</xdr:colOff>
          <xdr:row>49</xdr:row>
          <xdr:rowOff>57150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1163715E-B8FD-D4A5-7787-411E52CDD9D7}"/>
                </a:ext>
              </a:extLst>
            </xdr:cNvPr>
            <xdr:cNvSpPr/>
          </xdr:nvSpPr>
          <xdr:spPr bwMode="auto">
            <a:xfrm>
              <a:off x="0" y="0"/>
              <a:ext cx="0" cy="0"/>
            </a:xfrm>
            <a:prstGeom prst="rect">
              <a:avLst/>
            </a:prstGeom>
            <a:solidFill>
              <a:srgbClr val="008000" mc:Ignorable="a14" a14:legacySpreadsheetColorIndex="17">
                <a:alpha val="45000"/>
              </a:srgbClr>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 Pachtland hat sich verändert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44</xdr:row>
          <xdr:rowOff>104775</xdr:rowOff>
        </xdr:from>
        <xdr:to>
          <xdr:col>13</xdr:col>
          <xdr:colOff>257175</xdr:colOff>
          <xdr:row>45</xdr:row>
          <xdr:rowOff>133350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8C806092-9970-B2C9-7F75-AE21C46A4A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49</xdr:row>
          <xdr:rowOff>85725</xdr:rowOff>
        </xdr:from>
        <xdr:to>
          <xdr:col>11</xdr:col>
          <xdr:colOff>923925</xdr:colOff>
          <xdr:row>50</xdr:row>
          <xdr:rowOff>133350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3623FEA4-878E-473A-B56C-96C6667B6205}"/>
                </a:ext>
              </a:extLst>
            </xdr:cNvPr>
            <xdr:cNvSpPr/>
          </xdr:nvSpPr>
          <xdr:spPr bwMode="auto">
            <a:xfrm>
              <a:off x="0" y="0"/>
              <a:ext cx="0" cy="0"/>
            </a:xfrm>
            <a:prstGeom prst="rect">
              <a:avLst/>
            </a:prstGeom>
            <a:solidFill>
              <a:srgbClr val="008000" mc:Ignorable="a14" a14:legacySpreadsheetColorIndex="17">
                <a:alpha val="45000"/>
              </a:srgbClr>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 Eigenland hat sich verändert</a:t>
              </a:r>
            </a:p>
          </xdr:txBody>
        </xdr:sp>
        <xdr:clientData/>
      </xdr:twoCellAnchor>
    </mc:Choice>
    <mc:Fallback/>
  </mc:AlternateContent>
  <xdr:twoCellAnchor editAs="oneCell">
    <xdr:from>
      <xdr:col>8</xdr:col>
      <xdr:colOff>685800</xdr:colOff>
      <xdr:row>0</xdr:row>
      <xdr:rowOff>28575</xdr:rowOff>
    </xdr:from>
    <xdr:to>
      <xdr:col>13</xdr:col>
      <xdr:colOff>314325</xdr:colOff>
      <xdr:row>1</xdr:row>
      <xdr:rowOff>47625</xdr:rowOff>
    </xdr:to>
    <xdr:pic>
      <xdr:nvPicPr>
        <xdr:cNvPr id="42128" name="Grafik 1">
          <a:extLst>
            <a:ext uri="{FF2B5EF4-FFF2-40B4-BE49-F238E27FC236}">
              <a16:creationId xmlns:a16="http://schemas.microsoft.com/office/drawing/2014/main" id="{25637159-EB4C-F354-60B1-49FF6896C4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71950" y="28575"/>
          <a:ext cx="20955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8</xdr:col>
          <xdr:colOff>152400</xdr:colOff>
          <xdr:row>47</xdr:row>
          <xdr:rowOff>28575</xdr:rowOff>
        </xdr:from>
        <xdr:to>
          <xdr:col>11</xdr:col>
          <xdr:colOff>933450</xdr:colOff>
          <xdr:row>48</xdr:row>
          <xdr:rowOff>38100</xdr:rowOff>
        </xdr:to>
        <xdr:sp macro="" textlink="">
          <xdr:nvSpPr>
            <xdr:cNvPr id="14286" name="Check Box 974" hidden="1">
              <a:extLst>
                <a:ext uri="{63B3BB69-23CF-44E3-9099-C40C66FF867C}">
                  <a14:compatExt spid="_x0000_s14286"/>
                </a:ext>
                <a:ext uri="{FF2B5EF4-FFF2-40B4-BE49-F238E27FC236}">
                  <a16:creationId xmlns:a16="http://schemas.microsoft.com/office/drawing/2014/main" id="{DF6B4674-87B8-67ED-956C-F79519BFC464}"/>
                </a:ext>
              </a:extLst>
            </xdr:cNvPr>
            <xdr:cNvSpPr/>
          </xdr:nvSpPr>
          <xdr:spPr bwMode="auto">
            <a:xfrm>
              <a:off x="0" y="0"/>
              <a:ext cx="0" cy="0"/>
            </a:xfrm>
            <a:prstGeom prst="rect">
              <a:avLst/>
            </a:prstGeom>
            <a:solidFill>
              <a:srgbClr val="0000FF" mc:Ignorable="a14" a14:legacySpreadsheetColorIndex="12">
                <a:alpha val="28000"/>
              </a:srgbClr>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 Pachtland / Eigenland gleich geblieben</a:t>
              </a:r>
            </a:p>
          </xdr:txBody>
        </xdr:sp>
        <xdr:clientData/>
      </xdr:twoCellAnchor>
    </mc:Choice>
    <mc:Fallback/>
  </mc:AlternateContent>
  <xdr:twoCellAnchor>
    <xdr:from>
      <xdr:col>1</xdr:col>
      <xdr:colOff>647700</xdr:colOff>
      <xdr:row>2</xdr:row>
      <xdr:rowOff>266700</xdr:rowOff>
    </xdr:from>
    <xdr:to>
      <xdr:col>3</xdr:col>
      <xdr:colOff>276225</xdr:colOff>
      <xdr:row>5</xdr:row>
      <xdr:rowOff>28575</xdr:rowOff>
    </xdr:to>
    <xdr:sp macro="" textlink="">
      <xdr:nvSpPr>
        <xdr:cNvPr id="42129" name="AutoShape 22">
          <a:extLst>
            <a:ext uri="{FF2B5EF4-FFF2-40B4-BE49-F238E27FC236}">
              <a16:creationId xmlns:a16="http://schemas.microsoft.com/office/drawing/2014/main" id="{705D6B41-7E0F-32EF-A5DD-B2B7349E23DE}"/>
            </a:ext>
          </a:extLst>
        </xdr:cNvPr>
        <xdr:cNvSpPr>
          <a:spLocks noChangeArrowheads="1"/>
        </xdr:cNvSpPr>
      </xdr:nvSpPr>
      <xdr:spPr bwMode="auto">
        <a:xfrm rot="-5400000">
          <a:off x="1390650" y="171450"/>
          <a:ext cx="352425" cy="1247775"/>
        </a:xfrm>
        <a:prstGeom prst="downArrow">
          <a:avLst>
            <a:gd name="adj1" fmla="val 50000"/>
            <a:gd name="adj2" fmla="val 160193"/>
          </a:avLst>
        </a:prstGeom>
        <a:gradFill rotWithShape="1">
          <a:gsLst>
            <a:gs pos="0">
              <a:srgbClr val="FF0000"/>
            </a:gs>
            <a:gs pos="100000">
              <a:srgbClr val="760000"/>
            </a:gs>
          </a:gsLst>
          <a:lin ang="5400000" scaled="1"/>
        </a:gra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9</xdr:row>
      <xdr:rowOff>9525</xdr:rowOff>
    </xdr:from>
    <xdr:to>
      <xdr:col>3</xdr:col>
      <xdr:colOff>2514600</xdr:colOff>
      <xdr:row>9</xdr:row>
      <xdr:rowOff>3028950</xdr:rowOff>
    </xdr:to>
    <xdr:sp macro="" textlink="">
      <xdr:nvSpPr>
        <xdr:cNvPr id="38664" name="Text Box 5">
          <a:extLst>
            <a:ext uri="{FF2B5EF4-FFF2-40B4-BE49-F238E27FC236}">
              <a16:creationId xmlns:a16="http://schemas.microsoft.com/office/drawing/2014/main" id="{8C9ABA06-903A-3F1C-E5A9-C1E96C691F6E}"/>
            </a:ext>
          </a:extLst>
        </xdr:cNvPr>
        <xdr:cNvSpPr txBox="1">
          <a:spLocks noChangeArrowheads="1"/>
        </xdr:cNvSpPr>
      </xdr:nvSpPr>
      <xdr:spPr bwMode="auto">
        <a:xfrm>
          <a:off x="9525" y="2152650"/>
          <a:ext cx="5657850" cy="3019425"/>
        </a:xfrm>
        <a:prstGeom prst="rect">
          <a:avLst/>
        </a:prstGeom>
        <a:solidFill>
          <a:srgbClr val="FFFFFF"/>
        </a:solidFill>
        <a:ln w="9525">
          <a:solidFill>
            <a:srgbClr val="000000"/>
          </a:solidFill>
          <a:miter lim="800000"/>
          <a:headEnd/>
          <a:tailEnd/>
        </a:ln>
      </xdr:spPr>
    </xdr:sp>
    <xdr:clientData fLocksWithSheet="0"/>
  </xdr:twoCellAnchor>
  <xdr:twoCellAnchor>
    <xdr:from>
      <xdr:col>0</xdr:col>
      <xdr:colOff>0</xdr:colOff>
      <xdr:row>11</xdr:row>
      <xdr:rowOff>123825</xdr:rowOff>
    </xdr:from>
    <xdr:to>
      <xdr:col>3</xdr:col>
      <xdr:colOff>2524125</xdr:colOff>
      <xdr:row>12</xdr:row>
      <xdr:rowOff>1628775</xdr:rowOff>
    </xdr:to>
    <xdr:sp macro="" textlink="">
      <xdr:nvSpPr>
        <xdr:cNvPr id="38665" name="Text Box 6">
          <a:extLst>
            <a:ext uri="{FF2B5EF4-FFF2-40B4-BE49-F238E27FC236}">
              <a16:creationId xmlns:a16="http://schemas.microsoft.com/office/drawing/2014/main" id="{1CBF90DA-3582-DBD1-C266-D88A3067DFAD}"/>
            </a:ext>
          </a:extLst>
        </xdr:cNvPr>
        <xdr:cNvSpPr txBox="1">
          <a:spLocks noChangeArrowheads="1"/>
        </xdr:cNvSpPr>
      </xdr:nvSpPr>
      <xdr:spPr bwMode="auto">
        <a:xfrm>
          <a:off x="0" y="5619750"/>
          <a:ext cx="5676900" cy="1666875"/>
        </a:xfrm>
        <a:prstGeom prst="rect">
          <a:avLst/>
        </a:prstGeom>
        <a:solidFill>
          <a:srgbClr val="FFFFFF"/>
        </a:solidFill>
        <a:ln w="9525">
          <a:solidFill>
            <a:srgbClr val="000000"/>
          </a:solidFill>
          <a:miter lim="800000"/>
          <a:headEnd/>
          <a:tailEnd/>
        </a:ln>
      </xdr:spPr>
    </xdr:sp>
    <xdr:clientData fLocksWithSheet="0"/>
  </xdr:twoCellAnchor>
  <xdr:twoCellAnchor>
    <xdr:from>
      <xdr:col>0</xdr:col>
      <xdr:colOff>0</xdr:colOff>
      <xdr:row>14</xdr:row>
      <xdr:rowOff>76200</xdr:rowOff>
    </xdr:from>
    <xdr:to>
      <xdr:col>3</xdr:col>
      <xdr:colOff>2505075</xdr:colOff>
      <xdr:row>26</xdr:row>
      <xdr:rowOff>142875</xdr:rowOff>
    </xdr:to>
    <xdr:sp macro="" textlink="">
      <xdr:nvSpPr>
        <xdr:cNvPr id="38666" name="Text Box 7">
          <a:extLst>
            <a:ext uri="{FF2B5EF4-FFF2-40B4-BE49-F238E27FC236}">
              <a16:creationId xmlns:a16="http://schemas.microsoft.com/office/drawing/2014/main" id="{47B9D5F0-3760-CB37-BDE2-C818D2B89EA9}"/>
            </a:ext>
          </a:extLst>
        </xdr:cNvPr>
        <xdr:cNvSpPr txBox="1">
          <a:spLocks noChangeArrowheads="1"/>
        </xdr:cNvSpPr>
      </xdr:nvSpPr>
      <xdr:spPr bwMode="auto">
        <a:xfrm>
          <a:off x="0" y="7981950"/>
          <a:ext cx="5657850" cy="2009775"/>
        </a:xfrm>
        <a:prstGeom prst="rect">
          <a:avLst/>
        </a:prstGeom>
        <a:solidFill>
          <a:srgbClr val="FFFFFF"/>
        </a:solidFill>
        <a:ln w="9525">
          <a:solidFill>
            <a:srgbClr val="000000"/>
          </a:solidFill>
          <a:miter lim="800000"/>
          <a:headEnd/>
          <a:tailEnd/>
        </a:ln>
      </xdr:spPr>
    </xdr:sp>
    <xdr:clientData fLocksWithSheet="0"/>
  </xdr:twoCellAnchor>
  <xdr:twoCellAnchor editAs="oneCell">
    <xdr:from>
      <xdr:col>0</xdr:col>
      <xdr:colOff>0</xdr:colOff>
      <xdr:row>0</xdr:row>
      <xdr:rowOff>0</xdr:rowOff>
    </xdr:from>
    <xdr:to>
      <xdr:col>3</xdr:col>
      <xdr:colOff>438150</xdr:colOff>
      <xdr:row>3</xdr:row>
      <xdr:rowOff>9525</xdr:rowOff>
    </xdr:to>
    <xdr:pic>
      <xdr:nvPicPr>
        <xdr:cNvPr id="38667" name="Grafik 1">
          <a:extLst>
            <a:ext uri="{FF2B5EF4-FFF2-40B4-BE49-F238E27FC236}">
              <a16:creationId xmlns:a16="http://schemas.microsoft.com/office/drawing/2014/main" id="{CF43D06E-578F-CDEC-856F-5A12009A322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59092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3</xdr:col>
      <xdr:colOff>361950</xdr:colOff>
      <xdr:row>0</xdr:row>
      <xdr:rowOff>0</xdr:rowOff>
    </xdr:from>
    <xdr:to>
      <xdr:col>9</xdr:col>
      <xdr:colOff>428625</xdr:colOff>
      <xdr:row>1</xdr:row>
      <xdr:rowOff>76200</xdr:rowOff>
    </xdr:to>
    <xdr:pic>
      <xdr:nvPicPr>
        <xdr:cNvPr id="15171" name="Grafik 1">
          <a:extLst>
            <a:ext uri="{FF2B5EF4-FFF2-40B4-BE49-F238E27FC236}">
              <a16:creationId xmlns:a16="http://schemas.microsoft.com/office/drawing/2014/main" id="{152697BD-84BF-8FD8-D059-F10FF1DBC8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14775" y="0"/>
          <a:ext cx="25146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6</xdr:row>
          <xdr:rowOff>28575</xdr:rowOff>
        </xdr:from>
        <xdr:to>
          <xdr:col>4</xdr:col>
          <xdr:colOff>133350</xdr:colOff>
          <xdr:row>7</xdr:row>
          <xdr:rowOff>28575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C3105F9D-5D7A-F441-382E-02DECFE5BB9A}"/>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Betriebsleiter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xdr:row>
          <xdr:rowOff>28575</xdr:rowOff>
        </xdr:from>
        <xdr:to>
          <xdr:col>5</xdr:col>
          <xdr:colOff>28575</xdr:colOff>
          <xdr:row>7</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30A87787-41D2-1BF1-9440-699CBA7125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Betriebsleiterin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xdr:row>
          <xdr:rowOff>19050</xdr:rowOff>
        </xdr:from>
        <xdr:to>
          <xdr:col>7</xdr:col>
          <xdr:colOff>9525</xdr:colOff>
          <xdr:row>7</xdr:row>
          <xdr:rowOff>9525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6A61089B-EDFD-EE73-491E-9848655AFE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Sohn/Tochter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6</xdr:row>
          <xdr:rowOff>19050</xdr:rowOff>
        </xdr:from>
        <xdr:to>
          <xdr:col>7</xdr:col>
          <xdr:colOff>676275</xdr:colOff>
          <xdr:row>7</xdr:row>
          <xdr:rowOff>9525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9860069A-9D1A-F866-48DA-5EE92E4042F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Andere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xdr:row>
          <xdr:rowOff>28575</xdr:rowOff>
        </xdr:from>
        <xdr:to>
          <xdr:col>4</xdr:col>
          <xdr:colOff>133350</xdr:colOff>
          <xdr:row>8</xdr:row>
          <xdr:rowOff>47625</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70F05429-4DE6-D70D-4706-B99ACFB6F9BA}"/>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Betriebsleiter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7</xdr:row>
          <xdr:rowOff>28575</xdr:rowOff>
        </xdr:from>
        <xdr:to>
          <xdr:col>5</xdr:col>
          <xdr:colOff>28575</xdr:colOff>
          <xdr:row>8</xdr:row>
          <xdr:rowOff>38100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51212C6C-5374-5BBD-F27F-229237272C6F}"/>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Betriebsleiterin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19050</xdr:rowOff>
        </xdr:from>
        <xdr:to>
          <xdr:col>7</xdr:col>
          <xdr:colOff>9525</xdr:colOff>
          <xdr:row>8</xdr:row>
          <xdr:rowOff>28575</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58057D18-69C3-286E-1EAC-013745D52D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Sohn/Tochter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7</xdr:row>
          <xdr:rowOff>19050</xdr:rowOff>
        </xdr:from>
        <xdr:to>
          <xdr:col>7</xdr:col>
          <xdr:colOff>676275</xdr:colOff>
          <xdr:row>8</xdr:row>
          <xdr:rowOff>28575</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A6C111CB-A2B3-05C1-EFDE-F33A4FD3A2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Andere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xdr:row>
          <xdr:rowOff>47625</xdr:rowOff>
        </xdr:from>
        <xdr:to>
          <xdr:col>4</xdr:col>
          <xdr:colOff>133350</xdr:colOff>
          <xdr:row>9</xdr:row>
          <xdr:rowOff>47625</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C747C008-533B-52E0-EC7F-F64A3B088CD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Betriebsleiter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xdr:row>
          <xdr:rowOff>47625</xdr:rowOff>
        </xdr:from>
        <xdr:to>
          <xdr:col>5</xdr:col>
          <xdr:colOff>28575</xdr:colOff>
          <xdr:row>9</xdr:row>
          <xdr:rowOff>38100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DF0F7F4-477E-1723-7D86-047DF82E641A}"/>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Betriebsleiterin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8</xdr:row>
          <xdr:rowOff>38100</xdr:rowOff>
        </xdr:from>
        <xdr:to>
          <xdr:col>7</xdr:col>
          <xdr:colOff>9525</xdr:colOff>
          <xdr:row>9</xdr:row>
          <xdr:rowOff>28575</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38D127D5-9E89-DE10-7268-B4F3D3CAB7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Sohn/Tochter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8</xdr:row>
          <xdr:rowOff>38100</xdr:rowOff>
        </xdr:from>
        <xdr:to>
          <xdr:col>7</xdr:col>
          <xdr:colOff>676275</xdr:colOff>
          <xdr:row>9</xdr:row>
          <xdr:rowOff>28575</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C1FC822E-D635-3175-AB78-5F166955B92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CH" sz="800" b="0" i="0" u="none" strike="noStrike" baseline="0">
                  <a:solidFill>
                    <a:srgbClr val="000000"/>
                  </a:solidFill>
                  <a:latin typeface="Tahoma"/>
                  <a:ea typeface="Tahoma"/>
                  <a:cs typeface="Tahoma"/>
                </a:rPr>
                <a:t>Andere</a:t>
              </a:r>
            </a:p>
          </xdr:txBody>
        </xdr:sp>
        <xdr:clientData/>
      </xdr:twoCellAnchor>
    </mc:Choice>
    <mc:Fallback/>
  </mc:AlternateContent>
  <xdr:twoCellAnchor editAs="oneCell">
    <xdr:from>
      <xdr:col>4</xdr:col>
      <xdr:colOff>561975</xdr:colOff>
      <xdr:row>0</xdr:row>
      <xdr:rowOff>47625</xdr:rowOff>
    </xdr:from>
    <xdr:to>
      <xdr:col>8</xdr:col>
      <xdr:colOff>38100</xdr:colOff>
      <xdr:row>1</xdr:row>
      <xdr:rowOff>114300</xdr:rowOff>
    </xdr:to>
    <xdr:pic>
      <xdr:nvPicPr>
        <xdr:cNvPr id="21324" name="Grafik 1">
          <a:extLst>
            <a:ext uri="{FF2B5EF4-FFF2-40B4-BE49-F238E27FC236}">
              <a16:creationId xmlns:a16="http://schemas.microsoft.com/office/drawing/2014/main" id="{47E36C03-4534-D01F-E76B-A93C7CD597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76675" y="4762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32</xdr:row>
          <xdr:rowOff>0</xdr:rowOff>
        </xdr:from>
        <xdr:to>
          <xdr:col>3</xdr:col>
          <xdr:colOff>333375</xdr:colOff>
          <xdr:row>32</xdr:row>
          <xdr:rowOff>228600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4535DA9E-0B6B-72D9-300C-9A126777A95C}"/>
                </a:ext>
              </a:extLst>
            </xdr:cNvPr>
            <xdr:cNvSpPr/>
          </xdr:nvSpPr>
          <xdr:spPr bwMode="auto">
            <a:xfrm>
              <a:off x="0" y="0"/>
              <a:ext cx="0" cy="0"/>
            </a:xfrm>
            <a:prstGeom prst="rect">
              <a:avLst/>
            </a:prstGeom>
            <a:solidFill>
              <a:srgbClr val="FFFF99" mc:Ignorable="a14" a14:legacySpreadsheetColorIndex="43">
                <a:alpha val="78000"/>
              </a:srgbClr>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228600</xdr:rowOff>
        </xdr:from>
        <xdr:to>
          <xdr:col>3</xdr:col>
          <xdr:colOff>333375</xdr:colOff>
          <xdr:row>33</xdr:row>
          <xdr:rowOff>209550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5B33865B-575A-4D39-CFF5-ED4A91207A35}"/>
                </a:ext>
              </a:extLst>
            </xdr:cNvPr>
            <xdr:cNvSpPr/>
          </xdr:nvSpPr>
          <xdr:spPr bwMode="auto">
            <a:xfrm>
              <a:off x="0" y="0"/>
              <a:ext cx="0" cy="0"/>
            </a:xfrm>
            <a:prstGeom prst="rect">
              <a:avLst/>
            </a:prstGeom>
            <a:solidFill>
              <a:srgbClr val="FFFF99" mc:Ignorable="a14" a14:legacySpreadsheetColorIndex="43">
                <a:alpha val="78000"/>
              </a:srgbClr>
            </a:solidFill>
            <a:ln>
              <a:noFill/>
            </a:ln>
            <a:effectLst/>
            <a:extLst>
              <a:ext uri="{91240B29-F687-4F45-9708-019B960494DF}">
                <a14:hiddenLine w="9525" algn="ctr">
                  <a:solidFill>
                    <a:srgbClr val="000000" mc:Ignorable="a14" a14:legacySpreadsheetColorIndex="64"/>
                  </a:solid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34</xdr:row>
          <xdr:rowOff>28575</xdr:rowOff>
        </xdr:from>
        <xdr:to>
          <xdr:col>3</xdr:col>
          <xdr:colOff>333375</xdr:colOff>
          <xdr:row>35</xdr:row>
          <xdr:rowOff>9525</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FD4B64FC-C3CB-54BC-91F8-1DC60DF7D48E}"/>
                </a:ext>
              </a:extLst>
            </xdr:cNvPr>
            <xdr:cNvSpPr/>
          </xdr:nvSpPr>
          <xdr:spPr bwMode="auto">
            <a:xfrm>
              <a:off x="0" y="0"/>
              <a:ext cx="0" cy="0"/>
            </a:xfrm>
            <a:prstGeom prst="rect">
              <a:avLst/>
            </a:prstGeom>
            <a:solidFill>
              <a:srgbClr val="FFFF99" mc:Ignorable="a14" a14:legacySpreadsheetColorIndex="43">
                <a:alpha val="78000"/>
              </a:srgbClr>
            </a:solidFill>
            <a:ln>
              <a:noFill/>
            </a:ln>
            <a:effectLst/>
            <a:extLst>
              <a:ext uri="{91240B29-F687-4F45-9708-019B960494DF}">
                <a14:hiddenLine w="9525" algn="ctr">
                  <a:solidFill>
                    <a:srgbClr val="000000" mc:Ignorable="a14" a14:legacySpreadsheetColorIndex="64"/>
                  </a:solid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twoCellAnchor editAs="oneCell">
    <xdr:from>
      <xdr:col>0</xdr:col>
      <xdr:colOff>0</xdr:colOff>
      <xdr:row>0</xdr:row>
      <xdr:rowOff>142875</xdr:rowOff>
    </xdr:from>
    <xdr:to>
      <xdr:col>3</xdr:col>
      <xdr:colOff>28575</xdr:colOff>
      <xdr:row>3</xdr:row>
      <xdr:rowOff>76200</xdr:rowOff>
    </xdr:to>
    <xdr:pic>
      <xdr:nvPicPr>
        <xdr:cNvPr id="17231" name="Grafik 1">
          <a:extLst>
            <a:ext uri="{FF2B5EF4-FFF2-40B4-BE49-F238E27FC236}">
              <a16:creationId xmlns:a16="http://schemas.microsoft.com/office/drawing/2014/main" id="{AF44FDC2-3660-9A6C-C2BA-FC34AC2E5F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42875"/>
          <a:ext cx="31813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0</xdr:row>
      <xdr:rowOff>19050</xdr:rowOff>
    </xdr:from>
    <xdr:to>
      <xdr:col>8</xdr:col>
      <xdr:colOff>695325</xdr:colOff>
      <xdr:row>2</xdr:row>
      <xdr:rowOff>19050</xdr:rowOff>
    </xdr:to>
    <xdr:pic>
      <xdr:nvPicPr>
        <xdr:cNvPr id="2900" name="Grafik 1">
          <a:extLst>
            <a:ext uri="{FF2B5EF4-FFF2-40B4-BE49-F238E27FC236}">
              <a16:creationId xmlns:a16="http://schemas.microsoft.com/office/drawing/2014/main" id="{5EC9935C-F10A-9B72-4EDD-78BFE4CC1B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9525" y="19050"/>
          <a:ext cx="27622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342900</xdr:colOff>
      <xdr:row>0</xdr:row>
      <xdr:rowOff>19050</xdr:rowOff>
    </xdr:from>
    <xdr:to>
      <xdr:col>7</xdr:col>
      <xdr:colOff>638175</xdr:colOff>
      <xdr:row>1</xdr:row>
      <xdr:rowOff>114300</xdr:rowOff>
    </xdr:to>
    <xdr:pic>
      <xdr:nvPicPr>
        <xdr:cNvPr id="3924" name="Grafik 1">
          <a:extLst>
            <a:ext uri="{FF2B5EF4-FFF2-40B4-BE49-F238E27FC236}">
              <a16:creationId xmlns:a16="http://schemas.microsoft.com/office/drawing/2014/main" id="{7A6425A5-B274-167B-C326-F70A7FA64A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9525" y="19050"/>
          <a:ext cx="2562225"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304800</xdr:colOff>
      <xdr:row>0</xdr:row>
      <xdr:rowOff>9525</xdr:rowOff>
    </xdr:from>
    <xdr:to>
      <xdr:col>13</xdr:col>
      <xdr:colOff>600075</xdr:colOff>
      <xdr:row>1</xdr:row>
      <xdr:rowOff>114300</xdr:rowOff>
    </xdr:to>
    <xdr:pic>
      <xdr:nvPicPr>
        <xdr:cNvPr id="4936" name="Grafik 1">
          <a:extLst>
            <a:ext uri="{FF2B5EF4-FFF2-40B4-BE49-F238E27FC236}">
              <a16:creationId xmlns:a16="http://schemas.microsoft.com/office/drawing/2014/main" id="{C0D0DCC2-D58F-F4E9-4022-2B766581AE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7600" y="9525"/>
          <a:ext cx="2638425"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857250</xdr:colOff>
      <xdr:row>0</xdr:row>
      <xdr:rowOff>57150</xdr:rowOff>
    </xdr:from>
    <xdr:to>
      <xdr:col>7</xdr:col>
      <xdr:colOff>142875</xdr:colOff>
      <xdr:row>1</xdr:row>
      <xdr:rowOff>200025</xdr:rowOff>
    </xdr:to>
    <xdr:pic>
      <xdr:nvPicPr>
        <xdr:cNvPr id="20289" name="Grafik 1">
          <a:extLst>
            <a:ext uri="{FF2B5EF4-FFF2-40B4-BE49-F238E27FC236}">
              <a16:creationId xmlns:a16="http://schemas.microsoft.com/office/drawing/2014/main" id="{AB0F79D3-2389-A67A-81B1-1E71B73844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8625" y="57150"/>
          <a:ext cx="29146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55</xdr:row>
      <xdr:rowOff>47625</xdr:rowOff>
    </xdr:from>
    <xdr:to>
      <xdr:col>11</xdr:col>
      <xdr:colOff>171450</xdr:colOff>
      <xdr:row>62</xdr:row>
      <xdr:rowOff>2105025</xdr:rowOff>
    </xdr:to>
    <xdr:pic>
      <xdr:nvPicPr>
        <xdr:cNvPr id="41488" name="Grafik 4">
          <a:extLst>
            <a:ext uri="{FF2B5EF4-FFF2-40B4-BE49-F238E27FC236}">
              <a16:creationId xmlns:a16="http://schemas.microsoft.com/office/drawing/2014/main" id="{E1D5F414-2AA5-F710-7B8E-D90077B236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11106150"/>
          <a:ext cx="5448300" cy="321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419100</xdr:colOff>
      <xdr:row>50</xdr:row>
      <xdr:rowOff>142875</xdr:rowOff>
    </xdr:from>
    <xdr:to>
      <xdr:col>12</xdr:col>
      <xdr:colOff>238125</xdr:colOff>
      <xdr:row>65</xdr:row>
      <xdr:rowOff>142875</xdr:rowOff>
    </xdr:to>
    <xdr:sp macro="" textlink="">
      <xdr:nvSpPr>
        <xdr:cNvPr id="41489" name="AutoShape 13">
          <a:extLst>
            <a:ext uri="{FF2B5EF4-FFF2-40B4-BE49-F238E27FC236}">
              <a16:creationId xmlns:a16="http://schemas.microsoft.com/office/drawing/2014/main" id="{D3CD2F51-1DB6-E72D-BC4D-3928C958C25B}"/>
            </a:ext>
          </a:extLst>
        </xdr:cNvPr>
        <xdr:cNvSpPr>
          <a:spLocks noChangeArrowheads="1"/>
        </xdr:cNvSpPr>
      </xdr:nvSpPr>
      <xdr:spPr bwMode="auto">
        <a:xfrm rot="395513">
          <a:off x="5743575" y="10296525"/>
          <a:ext cx="314325" cy="4724400"/>
        </a:xfrm>
        <a:prstGeom prst="downArrow">
          <a:avLst>
            <a:gd name="adj1" fmla="val 34880"/>
            <a:gd name="adj2" fmla="val 207084"/>
          </a:avLst>
        </a:prstGeom>
        <a:solidFill>
          <a:srgbClr val="33CCCC"/>
        </a:solidFill>
        <a:ln w="9525">
          <a:solidFill>
            <a:srgbClr val="000000"/>
          </a:solidFill>
          <a:miter lim="800000"/>
          <a:headEnd/>
          <a:tailEnd/>
        </a:ln>
      </xdr:spPr>
    </xdr:sp>
    <xdr:clientData/>
  </xdr:twoCellAnchor>
  <xdr:twoCellAnchor>
    <xdr:from>
      <xdr:col>6</xdr:col>
      <xdr:colOff>219075</xdr:colOff>
      <xdr:row>68</xdr:row>
      <xdr:rowOff>2116</xdr:rowOff>
    </xdr:from>
    <xdr:to>
      <xdr:col>7</xdr:col>
      <xdr:colOff>0</xdr:colOff>
      <xdr:row>68</xdr:row>
      <xdr:rowOff>125941</xdr:rowOff>
    </xdr:to>
    <xdr:sp macro="" textlink="">
      <xdr:nvSpPr>
        <xdr:cNvPr id="5134" name="Rectangle 14">
          <a:extLst>
            <a:ext uri="{FF2B5EF4-FFF2-40B4-BE49-F238E27FC236}">
              <a16:creationId xmlns:a16="http://schemas.microsoft.com/office/drawing/2014/main" id="{4F8C0103-D921-D6FA-0379-F84F83028092}"/>
            </a:ext>
          </a:extLst>
        </xdr:cNvPr>
        <xdr:cNvSpPr>
          <a:spLocks noChangeArrowheads="1"/>
        </xdr:cNvSpPr>
      </xdr:nvSpPr>
      <xdr:spPr bwMode="auto">
        <a:xfrm>
          <a:off x="3943350" y="13173075"/>
          <a:ext cx="95250" cy="123825"/>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CH" sz="1000" b="0" i="0" u="none" strike="noStrike" baseline="0">
              <a:solidFill>
                <a:srgbClr val="000000"/>
              </a:solidFill>
              <a:latin typeface="Arial"/>
              <a:cs typeface="Arial"/>
            </a:rPr>
            <a:t>=</a:t>
          </a:r>
        </a:p>
      </xdr:txBody>
    </xdr:sp>
    <xdr:clientData/>
  </xdr:twoCellAnchor>
  <xdr:twoCellAnchor>
    <xdr:from>
      <xdr:col>6</xdr:col>
      <xdr:colOff>219075</xdr:colOff>
      <xdr:row>70</xdr:row>
      <xdr:rowOff>21167</xdr:rowOff>
    </xdr:from>
    <xdr:to>
      <xdr:col>7</xdr:col>
      <xdr:colOff>0</xdr:colOff>
      <xdr:row>70</xdr:row>
      <xdr:rowOff>144992</xdr:rowOff>
    </xdr:to>
    <xdr:sp macro="" textlink="">
      <xdr:nvSpPr>
        <xdr:cNvPr id="5135" name="Rectangle 15">
          <a:extLst>
            <a:ext uri="{FF2B5EF4-FFF2-40B4-BE49-F238E27FC236}">
              <a16:creationId xmlns:a16="http://schemas.microsoft.com/office/drawing/2014/main" id="{97F5B4E0-1653-2BA1-86AE-4F7E02E45319}"/>
            </a:ext>
          </a:extLst>
        </xdr:cNvPr>
        <xdr:cNvSpPr>
          <a:spLocks noChangeArrowheads="1"/>
        </xdr:cNvSpPr>
      </xdr:nvSpPr>
      <xdr:spPr bwMode="auto">
        <a:xfrm>
          <a:off x="3943350" y="13535025"/>
          <a:ext cx="95250" cy="123825"/>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CH" sz="1000" b="0" i="0" u="none" strike="noStrike" baseline="0">
              <a:solidFill>
                <a:srgbClr val="000000"/>
              </a:solidFill>
              <a:latin typeface="Arial"/>
              <a:cs typeface="Arial"/>
            </a:rPr>
            <a:t>=</a:t>
          </a:r>
        </a:p>
      </xdr:txBody>
    </xdr:sp>
    <xdr:clientData/>
  </xdr:twoCellAnchor>
  <xdr:twoCellAnchor editAs="oneCell">
    <xdr:from>
      <xdr:col>6</xdr:col>
      <xdr:colOff>114300</xdr:colOff>
      <xdr:row>0</xdr:row>
      <xdr:rowOff>0</xdr:rowOff>
    </xdr:from>
    <xdr:to>
      <xdr:col>12</xdr:col>
      <xdr:colOff>781050</xdr:colOff>
      <xdr:row>2</xdr:row>
      <xdr:rowOff>19050</xdr:rowOff>
    </xdr:to>
    <xdr:pic>
      <xdr:nvPicPr>
        <xdr:cNvPr id="41492" name="Grafik 1">
          <a:extLst>
            <a:ext uri="{FF2B5EF4-FFF2-40B4-BE49-F238E27FC236}">
              <a16:creationId xmlns:a16="http://schemas.microsoft.com/office/drawing/2014/main" id="{B8A0A053-71D3-5D3E-22AF-08953C87B0E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57625" y="0"/>
          <a:ext cx="27432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16</xdr:col>
      <xdr:colOff>484717</xdr:colOff>
      <xdr:row>7</xdr:row>
      <xdr:rowOff>34925</xdr:rowOff>
    </xdr:from>
    <xdr:ext cx="65" cy="172227"/>
    <xdr:sp macro="" textlink="">
      <xdr:nvSpPr>
        <xdr:cNvPr id="2" name="Textfeld 1">
          <a:extLst>
            <a:ext uri="{FF2B5EF4-FFF2-40B4-BE49-F238E27FC236}">
              <a16:creationId xmlns:a16="http://schemas.microsoft.com/office/drawing/2014/main" id="{FCEBDFDA-90F7-BBD5-2469-F5DE5BA80359}"/>
            </a:ext>
          </a:extLst>
        </xdr:cNvPr>
        <xdr:cNvSpPr txBox="1"/>
      </xdr:nvSpPr>
      <xdr:spPr>
        <a:xfrm>
          <a:off x="9448800" y="4236508"/>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CH"/>
        </a:p>
      </xdr:txBody>
    </xdr:sp>
    <xdr:clientData/>
  </xdr:oneCellAnchor>
  <xdr:twoCellAnchor>
    <xdr:from>
      <xdr:col>13</xdr:col>
      <xdr:colOff>42333</xdr:colOff>
      <xdr:row>8</xdr:row>
      <xdr:rowOff>169333</xdr:rowOff>
    </xdr:from>
    <xdr:to>
      <xdr:col>13</xdr:col>
      <xdr:colOff>359833</xdr:colOff>
      <xdr:row>18</xdr:row>
      <xdr:rowOff>169333</xdr:rowOff>
    </xdr:to>
    <xdr:sp macro="" textlink="">
      <xdr:nvSpPr>
        <xdr:cNvPr id="3" name="Geschweifte Klammer rechts 2">
          <a:extLst>
            <a:ext uri="{FF2B5EF4-FFF2-40B4-BE49-F238E27FC236}">
              <a16:creationId xmlns:a16="http://schemas.microsoft.com/office/drawing/2014/main" id="{32B771C0-9890-2FD9-2FD4-CA150DFD6227}"/>
            </a:ext>
          </a:extLst>
        </xdr:cNvPr>
        <xdr:cNvSpPr/>
      </xdr:nvSpPr>
      <xdr:spPr>
        <a:xfrm>
          <a:off x="6667500" y="2042583"/>
          <a:ext cx="317500" cy="2116667"/>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de-CH"/>
        </a:p>
      </xdr:txBody>
    </xdr:sp>
    <xdr:clientData/>
  </xdr:twoCellAnchor>
  <xdr:twoCellAnchor>
    <xdr:from>
      <xdr:col>13</xdr:col>
      <xdr:colOff>0</xdr:colOff>
      <xdr:row>19</xdr:row>
      <xdr:rowOff>0</xdr:rowOff>
    </xdr:from>
    <xdr:to>
      <xdr:col>13</xdr:col>
      <xdr:colOff>476250</xdr:colOff>
      <xdr:row>31</xdr:row>
      <xdr:rowOff>201084</xdr:rowOff>
    </xdr:to>
    <xdr:sp macro="" textlink="">
      <xdr:nvSpPr>
        <xdr:cNvPr id="9" name="Geschweifte Klammer rechts 8">
          <a:extLst>
            <a:ext uri="{FF2B5EF4-FFF2-40B4-BE49-F238E27FC236}">
              <a16:creationId xmlns:a16="http://schemas.microsoft.com/office/drawing/2014/main" id="{80337AB8-C75C-1D5B-48BB-D6E7F20EDE2C}"/>
            </a:ext>
          </a:extLst>
        </xdr:cNvPr>
        <xdr:cNvSpPr/>
      </xdr:nvSpPr>
      <xdr:spPr>
        <a:xfrm>
          <a:off x="6625167" y="4201583"/>
          <a:ext cx="476250" cy="274108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de-CH"/>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57150</xdr:colOff>
          <xdr:row>8</xdr:row>
          <xdr:rowOff>66675</xdr:rowOff>
        </xdr:from>
        <xdr:to>
          <xdr:col>5</xdr:col>
          <xdr:colOff>361950</xdr:colOff>
          <xdr:row>8</xdr:row>
          <xdr:rowOff>295275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FF9C4684-44A5-E4D6-18D2-CD1B5ED6876F}"/>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9</xdr:row>
          <xdr:rowOff>66675</xdr:rowOff>
        </xdr:from>
        <xdr:to>
          <xdr:col>5</xdr:col>
          <xdr:colOff>361950</xdr:colOff>
          <xdr:row>9</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9D23D5C3-DCE7-4D37-1727-8BCD675A5DEE}"/>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10</xdr:row>
          <xdr:rowOff>66675</xdr:rowOff>
        </xdr:from>
        <xdr:to>
          <xdr:col>5</xdr:col>
          <xdr:colOff>361950</xdr:colOff>
          <xdr:row>10</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61D4B1FC-F05E-CBCA-0569-3527F5E7512B}"/>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11</xdr:row>
          <xdr:rowOff>66675</xdr:rowOff>
        </xdr:from>
        <xdr:to>
          <xdr:col>5</xdr:col>
          <xdr:colOff>361950</xdr:colOff>
          <xdr:row>11</xdr:row>
          <xdr:rowOff>295275</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5B12877E-1791-BCBC-4CB7-C24D6D79BDE0}"/>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12</xdr:row>
          <xdr:rowOff>66675</xdr:rowOff>
        </xdr:from>
        <xdr:to>
          <xdr:col>5</xdr:col>
          <xdr:colOff>361950</xdr:colOff>
          <xdr:row>12</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80EF47AE-131B-749A-5044-9ABDCE45CC1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13</xdr:row>
          <xdr:rowOff>76200</xdr:rowOff>
        </xdr:from>
        <xdr:to>
          <xdr:col>5</xdr:col>
          <xdr:colOff>361950</xdr:colOff>
          <xdr:row>14</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C4BEB86A-A6CF-DDAF-654B-37256DB336D4}"/>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14</xdr:row>
          <xdr:rowOff>76200</xdr:rowOff>
        </xdr:from>
        <xdr:to>
          <xdr:col>5</xdr:col>
          <xdr:colOff>361950</xdr:colOff>
          <xdr:row>15</xdr:row>
          <xdr:rowOff>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904CB42A-4992-61DE-16AD-FA1658AA91C8}"/>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15</xdr:row>
          <xdr:rowOff>76200</xdr:rowOff>
        </xdr:from>
        <xdr:to>
          <xdr:col>5</xdr:col>
          <xdr:colOff>361950</xdr:colOff>
          <xdr:row>16</xdr:row>
          <xdr:rowOff>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2CC3A75E-F052-00EF-423C-5635743C5E6F}"/>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16</xdr:row>
          <xdr:rowOff>76200</xdr:rowOff>
        </xdr:from>
        <xdr:to>
          <xdr:col>5</xdr:col>
          <xdr:colOff>361950</xdr:colOff>
          <xdr:row>17</xdr:row>
          <xdr:rowOff>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4378F277-7D37-D692-42FE-F74EEF011118}"/>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17</xdr:row>
          <xdr:rowOff>85725</xdr:rowOff>
        </xdr:from>
        <xdr:to>
          <xdr:col>5</xdr:col>
          <xdr:colOff>361950</xdr:colOff>
          <xdr:row>18</xdr:row>
          <xdr:rowOff>9525</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54594B2B-D6B2-199C-2BBD-18B039812338}"/>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85725</xdr:rowOff>
        </xdr:from>
        <xdr:to>
          <xdr:col>5</xdr:col>
          <xdr:colOff>361950</xdr:colOff>
          <xdr:row>19</xdr:row>
          <xdr:rowOff>9525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D532C662-0653-E430-19FA-188712EE1B21}"/>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19</xdr:row>
          <xdr:rowOff>85725</xdr:rowOff>
        </xdr:from>
        <xdr:to>
          <xdr:col>5</xdr:col>
          <xdr:colOff>361950</xdr:colOff>
          <xdr:row>20</xdr:row>
          <xdr:rowOff>9525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AAA38E6A-D0E5-37B5-9017-AA95A7E49665}"/>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20</xdr:row>
          <xdr:rowOff>85725</xdr:rowOff>
        </xdr:from>
        <xdr:to>
          <xdr:col>5</xdr:col>
          <xdr:colOff>361950</xdr:colOff>
          <xdr:row>21</xdr:row>
          <xdr:rowOff>9525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AEDD425F-747A-61B9-0549-86000ED8EDD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21</xdr:row>
          <xdr:rowOff>85725</xdr:rowOff>
        </xdr:from>
        <xdr:to>
          <xdr:col>5</xdr:col>
          <xdr:colOff>361950</xdr:colOff>
          <xdr:row>22</xdr:row>
          <xdr:rowOff>9525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8792D59D-9E0B-FEC7-8CE5-66CEF7B6E66B}"/>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22</xdr:row>
          <xdr:rowOff>95250</xdr:rowOff>
        </xdr:from>
        <xdr:to>
          <xdr:col>5</xdr:col>
          <xdr:colOff>361950</xdr:colOff>
          <xdr:row>23</xdr:row>
          <xdr:rowOff>19050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79D0E2BD-1FDB-9D92-58F9-656C80720CA8}"/>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23</xdr:row>
          <xdr:rowOff>95250</xdr:rowOff>
        </xdr:from>
        <xdr:to>
          <xdr:col>5</xdr:col>
          <xdr:colOff>361950</xdr:colOff>
          <xdr:row>24</xdr:row>
          <xdr:rowOff>19050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9540C148-B58E-4872-9A42-AF3A21968CD6}"/>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24</xdr:row>
          <xdr:rowOff>95250</xdr:rowOff>
        </xdr:from>
        <xdr:to>
          <xdr:col>5</xdr:col>
          <xdr:colOff>361950</xdr:colOff>
          <xdr:row>25</xdr:row>
          <xdr:rowOff>19050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85D692C8-8E5B-8774-43A6-B83B4DE20A5C}"/>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25</xdr:row>
          <xdr:rowOff>95250</xdr:rowOff>
        </xdr:from>
        <xdr:to>
          <xdr:col>5</xdr:col>
          <xdr:colOff>361950</xdr:colOff>
          <xdr:row>26</xdr:row>
          <xdr:rowOff>19050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2974C6BF-5ED7-8695-0AB4-C394EF306CFD}"/>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26</xdr:row>
          <xdr:rowOff>104775</xdr:rowOff>
        </xdr:from>
        <xdr:to>
          <xdr:col>5</xdr:col>
          <xdr:colOff>361950</xdr:colOff>
          <xdr:row>27</xdr:row>
          <xdr:rowOff>28575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D96079B2-4248-35F1-A162-618F54FA51DA}"/>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27</xdr:row>
          <xdr:rowOff>104775</xdr:rowOff>
        </xdr:from>
        <xdr:to>
          <xdr:col>5</xdr:col>
          <xdr:colOff>361950</xdr:colOff>
          <xdr:row>28</xdr:row>
          <xdr:rowOff>28575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2655EE10-0113-72DE-1E50-7E951D737C5E}"/>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8</xdr:row>
          <xdr:rowOff>66675</xdr:rowOff>
        </xdr:from>
        <xdr:to>
          <xdr:col>6</xdr:col>
          <xdr:colOff>361950</xdr:colOff>
          <xdr:row>8</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370CA353-D27B-C1A9-533D-C68E683B2D09}"/>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9</xdr:row>
          <xdr:rowOff>66675</xdr:rowOff>
        </xdr:from>
        <xdr:to>
          <xdr:col>6</xdr:col>
          <xdr:colOff>361950</xdr:colOff>
          <xdr:row>9</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663328F7-D364-8FF3-084F-6CA98C063B3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10</xdr:row>
          <xdr:rowOff>66675</xdr:rowOff>
        </xdr:from>
        <xdr:to>
          <xdr:col>6</xdr:col>
          <xdr:colOff>361950</xdr:colOff>
          <xdr:row>10</xdr:row>
          <xdr:rowOff>295275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9D020974-3276-62E8-ED6D-6AC8F976E05C}"/>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11</xdr:row>
          <xdr:rowOff>66675</xdr:rowOff>
        </xdr:from>
        <xdr:to>
          <xdr:col>6</xdr:col>
          <xdr:colOff>361950</xdr:colOff>
          <xdr:row>11</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5EB2D4FC-36D7-5DA8-341A-AB230AB0334A}"/>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12</xdr:row>
          <xdr:rowOff>66675</xdr:rowOff>
        </xdr:from>
        <xdr:to>
          <xdr:col>6</xdr:col>
          <xdr:colOff>361950</xdr:colOff>
          <xdr:row>12</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1735F93E-2649-7910-6002-ED8345642586}"/>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13</xdr:row>
          <xdr:rowOff>76200</xdr:rowOff>
        </xdr:from>
        <xdr:to>
          <xdr:col>6</xdr:col>
          <xdr:colOff>361950</xdr:colOff>
          <xdr:row>14</xdr:row>
          <xdr:rowOff>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83FFFE57-9181-E5A2-BDA5-9B238002123F}"/>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14</xdr:row>
          <xdr:rowOff>76200</xdr:rowOff>
        </xdr:from>
        <xdr:to>
          <xdr:col>6</xdr:col>
          <xdr:colOff>361950</xdr:colOff>
          <xdr:row>15</xdr:row>
          <xdr:rowOff>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76D04A47-8D72-BAF0-33D6-6A545732557C}"/>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15</xdr:row>
          <xdr:rowOff>76200</xdr:rowOff>
        </xdr:from>
        <xdr:to>
          <xdr:col>6</xdr:col>
          <xdr:colOff>361950</xdr:colOff>
          <xdr:row>16</xdr:row>
          <xdr:rowOff>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A24E9FE5-BE58-1736-7E55-61BAFB739A4A}"/>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16</xdr:row>
          <xdr:rowOff>76200</xdr:rowOff>
        </xdr:from>
        <xdr:to>
          <xdr:col>6</xdr:col>
          <xdr:colOff>361950</xdr:colOff>
          <xdr:row>17</xdr:row>
          <xdr:rowOff>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ADF76B10-FEBE-C7F5-A1E4-D8840CD856B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17</xdr:row>
          <xdr:rowOff>85725</xdr:rowOff>
        </xdr:from>
        <xdr:to>
          <xdr:col>6</xdr:col>
          <xdr:colOff>361950</xdr:colOff>
          <xdr:row>18</xdr:row>
          <xdr:rowOff>9525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A65975D3-E037-443E-F7B4-3D1C107C19B6}"/>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18</xdr:row>
          <xdr:rowOff>85725</xdr:rowOff>
        </xdr:from>
        <xdr:to>
          <xdr:col>6</xdr:col>
          <xdr:colOff>361950</xdr:colOff>
          <xdr:row>19</xdr:row>
          <xdr:rowOff>9525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9159B4CB-3B58-395E-CDE9-D6BE609A79F8}"/>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20</xdr:row>
          <xdr:rowOff>85725</xdr:rowOff>
        </xdr:from>
        <xdr:to>
          <xdr:col>6</xdr:col>
          <xdr:colOff>361950</xdr:colOff>
          <xdr:row>21</xdr:row>
          <xdr:rowOff>9525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AA1D7-FDAA-CD2E-020F-32E6E0E8EC7B}"/>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19</xdr:row>
          <xdr:rowOff>85725</xdr:rowOff>
        </xdr:from>
        <xdr:to>
          <xdr:col>6</xdr:col>
          <xdr:colOff>361950</xdr:colOff>
          <xdr:row>20</xdr:row>
          <xdr:rowOff>9525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1F21C282-F7C2-E73A-D39D-6977629E0578}"/>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21</xdr:row>
          <xdr:rowOff>85725</xdr:rowOff>
        </xdr:from>
        <xdr:to>
          <xdr:col>6</xdr:col>
          <xdr:colOff>361950</xdr:colOff>
          <xdr:row>22</xdr:row>
          <xdr:rowOff>9525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1C146A05-5CC1-CAAA-6B16-7120A3F04516}"/>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22</xdr:row>
          <xdr:rowOff>95250</xdr:rowOff>
        </xdr:from>
        <xdr:to>
          <xdr:col>6</xdr:col>
          <xdr:colOff>361950</xdr:colOff>
          <xdr:row>23</xdr:row>
          <xdr:rowOff>19050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9A6872EA-509E-EB2A-D1C8-210FA4A77267}"/>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23</xdr:row>
          <xdr:rowOff>95250</xdr:rowOff>
        </xdr:from>
        <xdr:to>
          <xdr:col>6</xdr:col>
          <xdr:colOff>361950</xdr:colOff>
          <xdr:row>24</xdr:row>
          <xdr:rowOff>19050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A233184D-5922-A9BF-16ED-E2FECD86A69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24</xdr:row>
          <xdr:rowOff>95250</xdr:rowOff>
        </xdr:from>
        <xdr:to>
          <xdr:col>6</xdr:col>
          <xdr:colOff>361950</xdr:colOff>
          <xdr:row>25</xdr:row>
          <xdr:rowOff>19050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A809BC06-2E5A-7179-7796-8F1B546D7D20}"/>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25</xdr:row>
          <xdr:rowOff>95250</xdr:rowOff>
        </xdr:from>
        <xdr:to>
          <xdr:col>6</xdr:col>
          <xdr:colOff>361950</xdr:colOff>
          <xdr:row>26</xdr:row>
          <xdr:rowOff>19050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8EDC9585-522E-5FF7-F845-DC1663E698E5}"/>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26</xdr:row>
          <xdr:rowOff>104775</xdr:rowOff>
        </xdr:from>
        <xdr:to>
          <xdr:col>6</xdr:col>
          <xdr:colOff>361950</xdr:colOff>
          <xdr:row>27</xdr:row>
          <xdr:rowOff>28575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2EAE3B80-B98C-7CC4-E1BD-6E2BAA58651B}"/>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27</xdr:row>
          <xdr:rowOff>104775</xdr:rowOff>
        </xdr:from>
        <xdr:to>
          <xdr:col>6</xdr:col>
          <xdr:colOff>361950</xdr:colOff>
          <xdr:row>28</xdr:row>
          <xdr:rowOff>28575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D3481EF7-E943-8E37-9E63-CBAB2B1ABA1E}"/>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8</xdr:row>
          <xdr:rowOff>66675</xdr:rowOff>
        </xdr:from>
        <xdr:to>
          <xdr:col>4</xdr:col>
          <xdr:colOff>352425</xdr:colOff>
          <xdr:row>8</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666CEB59-8CC5-D3E1-32DF-8284F4805749}"/>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9</xdr:row>
          <xdr:rowOff>66675</xdr:rowOff>
        </xdr:from>
        <xdr:to>
          <xdr:col>4</xdr:col>
          <xdr:colOff>352425</xdr:colOff>
          <xdr:row>9</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A9D9A34E-D30C-9D26-C304-20E951630215}"/>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10</xdr:row>
          <xdr:rowOff>66675</xdr:rowOff>
        </xdr:from>
        <xdr:to>
          <xdr:col>4</xdr:col>
          <xdr:colOff>352425</xdr:colOff>
          <xdr:row>10</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6B8BF7DA-BF59-1F1F-AED8-C991948F608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66675</xdr:rowOff>
        </xdr:from>
        <xdr:to>
          <xdr:col>4</xdr:col>
          <xdr:colOff>352425</xdr:colOff>
          <xdr:row>11</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B642512D-CEFD-72A1-53E2-F1FBCD9FE94A}"/>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xdr:row>
          <xdr:rowOff>66675</xdr:rowOff>
        </xdr:from>
        <xdr:to>
          <xdr:col>4</xdr:col>
          <xdr:colOff>352425</xdr:colOff>
          <xdr:row>12</xdr:row>
          <xdr:rowOff>295275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AF0A133B-D2B2-E38E-7B1A-4067D4A576C3}"/>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xdr:row>
          <xdr:rowOff>76200</xdr:rowOff>
        </xdr:from>
        <xdr:to>
          <xdr:col>4</xdr:col>
          <xdr:colOff>352425</xdr:colOff>
          <xdr:row>14</xdr:row>
          <xdr:rowOff>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A82B85EA-A082-4997-1536-ABB8EBC7CA7F}"/>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14</xdr:row>
          <xdr:rowOff>76200</xdr:rowOff>
        </xdr:from>
        <xdr:to>
          <xdr:col>4</xdr:col>
          <xdr:colOff>352425</xdr:colOff>
          <xdr:row>15</xdr:row>
          <xdr:rowOff>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D5A21B7-EA57-5CAE-8FB7-32E091C73314}"/>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76200</xdr:rowOff>
        </xdr:from>
        <xdr:to>
          <xdr:col>4</xdr:col>
          <xdr:colOff>352425</xdr:colOff>
          <xdr:row>16</xdr:row>
          <xdr:rowOff>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E9F9EBBA-8D87-AE1D-A84A-F80B2DFBDA09}"/>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76200</xdr:rowOff>
        </xdr:from>
        <xdr:to>
          <xdr:col>4</xdr:col>
          <xdr:colOff>352425</xdr:colOff>
          <xdr:row>17</xdr:row>
          <xdr:rowOff>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6004C2EB-40E7-FD50-D601-966941B8BF94}"/>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85725</xdr:rowOff>
        </xdr:from>
        <xdr:to>
          <xdr:col>4</xdr:col>
          <xdr:colOff>352425</xdr:colOff>
          <xdr:row>18</xdr:row>
          <xdr:rowOff>9525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3E4DD660-94B6-B1FD-2BEF-ED1165D281A6}"/>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xdr:row>
          <xdr:rowOff>85725</xdr:rowOff>
        </xdr:from>
        <xdr:to>
          <xdr:col>4</xdr:col>
          <xdr:colOff>352425</xdr:colOff>
          <xdr:row>19</xdr:row>
          <xdr:rowOff>9525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6F42B197-579D-8944-72B8-866B2D1D9ED5}"/>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85725</xdr:rowOff>
        </xdr:from>
        <xdr:to>
          <xdr:col>4</xdr:col>
          <xdr:colOff>352425</xdr:colOff>
          <xdr:row>20</xdr:row>
          <xdr:rowOff>9525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3E426A05-307F-2314-E91E-D8A160CBFFD9}"/>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xdr:row>
          <xdr:rowOff>85725</xdr:rowOff>
        </xdr:from>
        <xdr:to>
          <xdr:col>4</xdr:col>
          <xdr:colOff>352425</xdr:colOff>
          <xdr:row>21</xdr:row>
          <xdr:rowOff>9525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D23A7B96-22DF-B2E2-7436-EB19BBDAB472}"/>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21</xdr:row>
          <xdr:rowOff>85725</xdr:rowOff>
        </xdr:from>
        <xdr:to>
          <xdr:col>4</xdr:col>
          <xdr:colOff>352425</xdr:colOff>
          <xdr:row>22</xdr:row>
          <xdr:rowOff>9525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C5F44978-B07A-5A44-FF32-7AE9A779031D}"/>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22</xdr:row>
          <xdr:rowOff>95250</xdr:rowOff>
        </xdr:from>
        <xdr:to>
          <xdr:col>4</xdr:col>
          <xdr:colOff>352425</xdr:colOff>
          <xdr:row>23</xdr:row>
          <xdr:rowOff>19050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6927A9F6-DD04-00D6-0E7A-D129AF3118B1}"/>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23</xdr:row>
          <xdr:rowOff>95250</xdr:rowOff>
        </xdr:from>
        <xdr:to>
          <xdr:col>4</xdr:col>
          <xdr:colOff>352425</xdr:colOff>
          <xdr:row>24</xdr:row>
          <xdr:rowOff>19050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91D42BCE-F2FB-A50A-1B94-EC691F2916F9}"/>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24</xdr:row>
          <xdr:rowOff>95250</xdr:rowOff>
        </xdr:from>
        <xdr:to>
          <xdr:col>4</xdr:col>
          <xdr:colOff>352425</xdr:colOff>
          <xdr:row>25</xdr:row>
          <xdr:rowOff>19050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7EFB25FA-9719-EEAF-23E1-F2965678845B}"/>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25</xdr:row>
          <xdr:rowOff>95250</xdr:rowOff>
        </xdr:from>
        <xdr:to>
          <xdr:col>4</xdr:col>
          <xdr:colOff>352425</xdr:colOff>
          <xdr:row>26</xdr:row>
          <xdr:rowOff>19050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EBE35C17-7100-7BC4-5716-8005415843A4}"/>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26</xdr:row>
          <xdr:rowOff>104775</xdr:rowOff>
        </xdr:from>
        <xdr:to>
          <xdr:col>4</xdr:col>
          <xdr:colOff>352425</xdr:colOff>
          <xdr:row>27</xdr:row>
          <xdr:rowOff>28575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96AF8A6E-03C1-2787-3C1D-BF02B3CCF2A7}"/>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27</xdr:row>
          <xdr:rowOff>104775</xdr:rowOff>
        </xdr:from>
        <xdr:to>
          <xdr:col>4</xdr:col>
          <xdr:colOff>352425</xdr:colOff>
          <xdr:row>28</xdr:row>
          <xdr:rowOff>28575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D68A47A3-C1F3-B54A-CA09-BD266A362C75}"/>
                </a:ext>
              </a:extLst>
            </xdr:cNvPr>
            <xdr:cNvSpPr/>
          </xdr:nvSpPr>
          <xdr:spPr bwMode="auto">
            <a:xfrm>
              <a:off x="0" y="0"/>
              <a:ext cx="0" cy="0"/>
            </a:xfrm>
            <a:prstGeom prst="rect">
              <a:avLst/>
            </a:prstGeom>
            <a:noFill/>
            <a:ln>
              <a:noFill/>
            </a:ln>
            <a:extLst>
              <a:ext uri="{909E8E84-426E-40DD-AFC4-6F175D3DCCD1}">
                <a14:hiddenFill>
                  <a:solidFill>
                    <a:srgbClr val="FFFF99" mc:Ignorable="a14" a14:legacySpreadsheetColorIndex="43">
                      <a:alpha val="78000"/>
                    </a:srgbClr>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123825</xdr:colOff>
      <xdr:row>1</xdr:row>
      <xdr:rowOff>123825</xdr:rowOff>
    </xdr:from>
    <xdr:to>
      <xdr:col>11</xdr:col>
      <xdr:colOff>942975</xdr:colOff>
      <xdr:row>2</xdr:row>
      <xdr:rowOff>352425</xdr:rowOff>
    </xdr:to>
    <xdr:pic>
      <xdr:nvPicPr>
        <xdr:cNvPr id="19391" name="Grafik 1">
          <a:extLst>
            <a:ext uri="{FF2B5EF4-FFF2-40B4-BE49-F238E27FC236}">
              <a16:creationId xmlns:a16="http://schemas.microsoft.com/office/drawing/2014/main" id="{C8ABE6F8-039C-F123-FBD3-265E7676782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86125" y="419100"/>
          <a:ext cx="258127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50" Type="http://schemas.openxmlformats.org/officeDocument/2006/relationships/ctrlProp" Target="../ctrlProps/ctrlProp49.xml"/><Relationship Id="rId55" Type="http://schemas.openxmlformats.org/officeDocument/2006/relationships/ctrlProp" Target="../ctrlProps/ctrlProp54.xml"/><Relationship Id="rId63" Type="http://schemas.openxmlformats.org/officeDocument/2006/relationships/ctrlProp" Target="../ctrlProps/ctrlProp62.xml"/><Relationship Id="rId7" Type="http://schemas.openxmlformats.org/officeDocument/2006/relationships/ctrlProp" Target="../ctrlProps/ctrlProp6.xml"/><Relationship Id="rId2" Type="http://schemas.openxmlformats.org/officeDocument/2006/relationships/printerSettings" Target="../printerSettings/printerSettings22.bin"/><Relationship Id="rId16" Type="http://schemas.openxmlformats.org/officeDocument/2006/relationships/ctrlProp" Target="../ctrlProps/ctrlProp15.xml"/><Relationship Id="rId29" Type="http://schemas.openxmlformats.org/officeDocument/2006/relationships/ctrlProp" Target="../ctrlProps/ctrlProp28.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3" Type="http://schemas.openxmlformats.org/officeDocument/2006/relationships/ctrlProp" Target="../ctrlProps/ctrlProp52.xml"/><Relationship Id="rId58" Type="http://schemas.openxmlformats.org/officeDocument/2006/relationships/ctrlProp" Target="../ctrlProps/ctrlProp57.xml"/><Relationship Id="rId5" Type="http://schemas.openxmlformats.org/officeDocument/2006/relationships/ctrlProp" Target="../ctrlProps/ctrlProp4.xml"/><Relationship Id="rId61" Type="http://schemas.openxmlformats.org/officeDocument/2006/relationships/ctrlProp" Target="../ctrlProps/ctrlProp60.xml"/><Relationship Id="rId19" Type="http://schemas.openxmlformats.org/officeDocument/2006/relationships/ctrlProp" Target="../ctrlProps/ctrlProp1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56" Type="http://schemas.openxmlformats.org/officeDocument/2006/relationships/ctrlProp" Target="../ctrlProps/ctrlProp55.xml"/><Relationship Id="rId64" Type="http://schemas.openxmlformats.org/officeDocument/2006/relationships/ctrlProp" Target="../ctrlProps/ctrlProp63.xml"/><Relationship Id="rId8" Type="http://schemas.openxmlformats.org/officeDocument/2006/relationships/ctrlProp" Target="../ctrlProps/ctrlProp7.xml"/><Relationship Id="rId51" Type="http://schemas.openxmlformats.org/officeDocument/2006/relationships/ctrlProp" Target="../ctrlProps/ctrlProp50.xml"/><Relationship Id="rId3" Type="http://schemas.openxmlformats.org/officeDocument/2006/relationships/drawing" Target="../drawings/drawing9.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59" Type="http://schemas.openxmlformats.org/officeDocument/2006/relationships/ctrlProp" Target="../ctrlProps/ctrlProp58.xml"/><Relationship Id="rId20" Type="http://schemas.openxmlformats.org/officeDocument/2006/relationships/ctrlProp" Target="../ctrlProps/ctrlProp19.xml"/><Relationship Id="rId41" Type="http://schemas.openxmlformats.org/officeDocument/2006/relationships/ctrlProp" Target="../ctrlProps/ctrlProp40.xml"/><Relationship Id="rId54" Type="http://schemas.openxmlformats.org/officeDocument/2006/relationships/ctrlProp" Target="../ctrlProps/ctrlProp53.xml"/><Relationship Id="rId62" Type="http://schemas.openxmlformats.org/officeDocument/2006/relationships/ctrlProp" Target="../ctrlProps/ctrlProp61.xml"/><Relationship Id="rId1" Type="http://schemas.openxmlformats.org/officeDocument/2006/relationships/printerSettings" Target="../printerSettings/printerSettings21.bin"/><Relationship Id="rId6" Type="http://schemas.openxmlformats.org/officeDocument/2006/relationships/ctrlProp" Target="../ctrlProps/ctrlProp5.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49" Type="http://schemas.openxmlformats.org/officeDocument/2006/relationships/ctrlProp" Target="../ctrlProps/ctrlProp48.xml"/><Relationship Id="rId57" Type="http://schemas.openxmlformats.org/officeDocument/2006/relationships/ctrlProp" Target="../ctrlProps/ctrlProp56.xml"/><Relationship Id="rId10" Type="http://schemas.openxmlformats.org/officeDocument/2006/relationships/ctrlProp" Target="../ctrlProps/ctrlProp9.xml"/><Relationship Id="rId31" Type="http://schemas.openxmlformats.org/officeDocument/2006/relationships/ctrlProp" Target="../ctrlProps/ctrlProp30.xml"/><Relationship Id="rId44" Type="http://schemas.openxmlformats.org/officeDocument/2006/relationships/ctrlProp" Target="../ctrlProps/ctrlProp43.xml"/><Relationship Id="rId52" Type="http://schemas.openxmlformats.org/officeDocument/2006/relationships/ctrlProp" Target="../ctrlProps/ctrlProp51.xml"/><Relationship Id="rId60" Type="http://schemas.openxmlformats.org/officeDocument/2006/relationships/ctrlProp" Target="../ctrlProps/ctrlProp59.xml"/><Relationship Id="rId4" Type="http://schemas.openxmlformats.org/officeDocument/2006/relationships/vmlDrawing" Target="../drawings/vmlDrawing2.vml"/><Relationship Id="rId9" Type="http://schemas.openxmlformats.org/officeDocument/2006/relationships/ctrlProp" Target="../ctrlProps/ctrlProp8.x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vmlDrawing" Target="../drawings/vmlDrawing3.vml"/></Relationships>
</file>

<file path=xl/worksheets/_rels/sheet21.xml.rels><?xml version="1.0" encoding="UTF-8" standalone="yes"?>
<Relationships xmlns="http://schemas.openxmlformats.org/package/2006/relationships"><Relationship Id="rId8" Type="http://schemas.openxmlformats.org/officeDocument/2006/relationships/ctrlProp" Target="../ctrlProps/ctrlProp69.xml"/><Relationship Id="rId3" Type="http://schemas.openxmlformats.org/officeDocument/2006/relationships/drawing" Target="../drawings/drawing19.xml"/><Relationship Id="rId7" Type="http://schemas.openxmlformats.org/officeDocument/2006/relationships/ctrlProp" Target="../ctrlProps/ctrlProp68.x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vmlDrawing" Target="../drawings/vmlDrawing4.vml"/><Relationship Id="rId9" Type="http://schemas.openxmlformats.org/officeDocument/2006/relationships/comments" Target="../comments1.xm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8" Type="http://schemas.openxmlformats.org/officeDocument/2006/relationships/ctrlProp" Target="../ctrlProps/ctrlProp73.xml"/><Relationship Id="rId13" Type="http://schemas.openxmlformats.org/officeDocument/2006/relationships/ctrlProp" Target="../ctrlProps/ctrlProp78.xml"/><Relationship Id="rId3" Type="http://schemas.openxmlformats.org/officeDocument/2006/relationships/drawing" Target="../drawings/drawing21.xml"/><Relationship Id="rId7" Type="http://schemas.openxmlformats.org/officeDocument/2006/relationships/ctrlProp" Target="../ctrlProps/ctrlProp72.xml"/><Relationship Id="rId12" Type="http://schemas.openxmlformats.org/officeDocument/2006/relationships/ctrlProp" Target="../ctrlProps/ctrlProp77.xml"/><Relationship Id="rId2" Type="http://schemas.openxmlformats.org/officeDocument/2006/relationships/printerSettings" Target="../printerSettings/printerSettings46.bin"/><Relationship Id="rId16" Type="http://schemas.openxmlformats.org/officeDocument/2006/relationships/ctrlProp" Target="../ctrlProps/ctrlProp81.xml"/><Relationship Id="rId1" Type="http://schemas.openxmlformats.org/officeDocument/2006/relationships/printerSettings" Target="../printerSettings/printerSettings45.bin"/><Relationship Id="rId6" Type="http://schemas.openxmlformats.org/officeDocument/2006/relationships/ctrlProp" Target="../ctrlProps/ctrlProp71.xml"/><Relationship Id="rId11" Type="http://schemas.openxmlformats.org/officeDocument/2006/relationships/ctrlProp" Target="../ctrlProps/ctrlProp76.xml"/><Relationship Id="rId5" Type="http://schemas.openxmlformats.org/officeDocument/2006/relationships/ctrlProp" Target="../ctrlProps/ctrlProp70.xml"/><Relationship Id="rId15" Type="http://schemas.openxmlformats.org/officeDocument/2006/relationships/ctrlProp" Target="../ctrlProps/ctrlProp80.xml"/><Relationship Id="rId10" Type="http://schemas.openxmlformats.org/officeDocument/2006/relationships/ctrlProp" Target="../ctrlProps/ctrlProp75.xml"/><Relationship Id="rId4" Type="http://schemas.openxmlformats.org/officeDocument/2006/relationships/vmlDrawing" Target="../drawings/vmlDrawing5.vml"/><Relationship Id="rId9" Type="http://schemas.openxmlformats.org/officeDocument/2006/relationships/ctrlProp" Target="../ctrlProps/ctrlProp74.xml"/><Relationship Id="rId14" Type="http://schemas.openxmlformats.org/officeDocument/2006/relationships/ctrlProp" Target="../ctrlProps/ctrlProp79.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7" Type="http://schemas.openxmlformats.org/officeDocument/2006/relationships/ctrlProp" Target="../ctrlProps/ctrlProp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46541-A436-42D4-8B0D-673B09374E28}">
  <sheetPr codeName="Tabelle16">
    <tabColor indexed="22"/>
    <pageSetUpPr fitToPage="1"/>
  </sheetPr>
  <dimension ref="A1:M65"/>
  <sheetViews>
    <sheetView showGridLines="0" tabSelected="1" zoomScaleNormal="100" workbookViewId="0">
      <selection activeCell="H10" sqref="H10"/>
    </sheetView>
  </sheetViews>
  <sheetFormatPr baseColWidth="10" defaultRowHeight="12.75" x14ac:dyDescent="0.2"/>
  <cols>
    <col min="1" max="1" width="6.42578125" style="51" customWidth="1"/>
    <col min="2" max="2" width="114.42578125" style="51" customWidth="1"/>
    <col min="3" max="3" width="11.42578125" style="51"/>
    <col min="4" max="4" width="15.140625" style="51" customWidth="1"/>
    <col min="5" max="5" width="15.28515625" style="51" hidden="1" customWidth="1"/>
    <col min="6" max="6" width="5.140625" style="51" customWidth="1"/>
    <col min="7" max="7" width="7" style="51" customWidth="1"/>
    <col min="8" max="8" width="2.5703125" style="51" customWidth="1"/>
    <col min="9" max="9" width="8.42578125" style="51" customWidth="1"/>
    <col min="10" max="10" width="12.5703125" style="51" customWidth="1"/>
    <col min="11" max="12" width="11.42578125" style="51"/>
    <col min="13" max="13" width="29.7109375" style="51" customWidth="1"/>
    <col min="14" max="16384" width="11.42578125" style="51"/>
  </cols>
  <sheetData>
    <row r="1" spans="1:6" ht="15" x14ac:dyDescent="0.25">
      <c r="B1" s="658"/>
    </row>
    <row r="3" spans="1:6" ht="17.25" customHeight="1" x14ac:dyDescent="0.2">
      <c r="B3" s="659"/>
      <c r="F3" s="106"/>
    </row>
    <row r="4" spans="1:6" ht="19.5" customHeight="1" thickBot="1" x14ac:dyDescent="0.3">
      <c r="B4" s="660"/>
    </row>
    <row r="5" spans="1:6" ht="32.25" customHeight="1" thickBot="1" x14ac:dyDescent="0.25">
      <c r="B5" s="675" t="s">
        <v>424</v>
      </c>
    </row>
    <row r="6" spans="1:6" ht="22.5" customHeight="1" thickBot="1" x14ac:dyDescent="0.25"/>
    <row r="7" spans="1:6" ht="21" customHeight="1" x14ac:dyDescent="0.25">
      <c r="B7" s="752" t="s">
        <v>537</v>
      </c>
    </row>
    <row r="8" spans="1:6" ht="18.75" customHeight="1" x14ac:dyDescent="0.2">
      <c r="B8" s="753" t="s">
        <v>469</v>
      </c>
    </row>
    <row r="9" spans="1:6" ht="18.75" hidden="1" customHeight="1" x14ac:dyDescent="0.2">
      <c r="B9" s="753" t="s">
        <v>468</v>
      </c>
      <c r="E9" s="51" t="s">
        <v>482</v>
      </c>
    </row>
    <row r="10" spans="1:6" ht="18.75" customHeight="1" x14ac:dyDescent="0.2">
      <c r="B10" s="753" t="s">
        <v>467</v>
      </c>
    </row>
    <row r="11" spans="1:6" ht="18.75" customHeight="1" thickBot="1" x14ac:dyDescent="0.25">
      <c r="B11" s="754" t="s">
        <v>466</v>
      </c>
    </row>
    <row r="12" spans="1:6" ht="23.25" customHeight="1" x14ac:dyDescent="0.25">
      <c r="B12" s="742"/>
    </row>
    <row r="13" spans="1:6" ht="18" x14ac:dyDescent="0.25">
      <c r="B13" s="671" t="s">
        <v>429</v>
      </c>
    </row>
    <row r="14" spans="1:6" ht="12.75" customHeight="1" x14ac:dyDescent="0.2">
      <c r="A14" s="563"/>
      <c r="B14" s="907" t="s">
        <v>491</v>
      </c>
    </row>
    <row r="15" spans="1:6" ht="115.5" customHeight="1" x14ac:dyDescent="0.2">
      <c r="B15" s="907"/>
    </row>
    <row r="16" spans="1:6" ht="19.5" customHeight="1" x14ac:dyDescent="0.2">
      <c r="B16" s="663"/>
    </row>
    <row r="17" spans="2:13" ht="18" x14ac:dyDescent="0.25">
      <c r="B17" s="671" t="s">
        <v>357</v>
      </c>
    </row>
    <row r="18" spans="2:13" ht="21" customHeight="1" x14ac:dyDescent="0.2">
      <c r="B18" s="743" t="s">
        <v>457</v>
      </c>
      <c r="D18" s="108"/>
      <c r="I18" s="109"/>
    </row>
    <row r="19" spans="2:13" ht="15" customHeight="1" x14ac:dyDescent="0.2">
      <c r="B19" s="743" t="s">
        <v>418</v>
      </c>
      <c r="D19" s="108"/>
      <c r="I19" s="109"/>
    </row>
    <row r="20" spans="2:13" ht="22.5" customHeight="1" x14ac:dyDescent="0.2">
      <c r="D20" s="108"/>
      <c r="I20" s="109"/>
    </row>
    <row r="21" spans="2:13" ht="18" x14ac:dyDescent="0.25">
      <c r="B21" s="671" t="s">
        <v>370</v>
      </c>
      <c r="D21" s="108"/>
      <c r="I21" s="109"/>
    </row>
    <row r="22" spans="2:13" ht="16.5" customHeight="1" x14ac:dyDescent="0.2">
      <c r="B22" s="744" t="s">
        <v>336</v>
      </c>
    </row>
    <row r="23" spans="2:13" ht="18" x14ac:dyDescent="0.25">
      <c r="B23" s="744" t="s">
        <v>458</v>
      </c>
    </row>
    <row r="24" spans="2:13" ht="15" x14ac:dyDescent="0.2">
      <c r="B24" s="744" t="s">
        <v>459</v>
      </c>
    </row>
    <row r="25" spans="2:13" ht="15" x14ac:dyDescent="0.2">
      <c r="B25" s="744" t="s">
        <v>406</v>
      </c>
    </row>
    <row r="26" spans="2:13" ht="15" x14ac:dyDescent="0.2">
      <c r="B26" s="744" t="s">
        <v>411</v>
      </c>
    </row>
    <row r="27" spans="2:13" x14ac:dyDescent="0.2">
      <c r="B27" s="745" t="s">
        <v>445</v>
      </c>
    </row>
    <row r="28" spans="2:13" ht="11.25" customHeight="1" x14ac:dyDescent="0.2">
      <c r="B28" s="663"/>
    </row>
    <row r="29" spans="2:13" ht="15" x14ac:dyDescent="0.2">
      <c r="B29" s="664" t="s">
        <v>321</v>
      </c>
    </row>
    <row r="30" spans="2:13" ht="15" x14ac:dyDescent="0.2">
      <c r="B30" s="661" t="s">
        <v>412</v>
      </c>
    </row>
    <row r="31" spans="2:13" ht="15" x14ac:dyDescent="0.2">
      <c r="B31" s="661" t="s">
        <v>326</v>
      </c>
      <c r="L31" s="111"/>
      <c r="M31" s="111"/>
    </row>
    <row r="32" spans="2:13" ht="15.75" x14ac:dyDescent="0.25">
      <c r="B32" s="661" t="s">
        <v>327</v>
      </c>
      <c r="L32" s="111"/>
      <c r="M32" s="111"/>
    </row>
    <row r="33" spans="1:13" ht="9" customHeight="1" x14ac:dyDescent="0.2">
      <c r="L33" s="111"/>
      <c r="M33" s="111"/>
    </row>
    <row r="34" spans="1:13" ht="34.5" customHeight="1" x14ac:dyDescent="0.2">
      <c r="B34" s="665" t="s">
        <v>419</v>
      </c>
    </row>
    <row r="35" spans="1:13" ht="28.5" x14ac:dyDescent="0.2">
      <c r="B35" s="674" t="s">
        <v>446</v>
      </c>
    </row>
    <row r="36" spans="1:13" ht="18.75" customHeight="1" x14ac:dyDescent="0.2">
      <c r="B36" s="661"/>
    </row>
    <row r="37" spans="1:13" ht="25.5" customHeight="1" x14ac:dyDescent="0.2">
      <c r="B37" s="672" t="s">
        <v>462</v>
      </c>
    </row>
    <row r="38" spans="1:13" s="757" customFormat="1" ht="34.5" customHeight="1" x14ac:dyDescent="0.2">
      <c r="A38" s="563"/>
      <c r="B38" s="755"/>
      <c r="C38" s="756"/>
      <c r="D38" s="756"/>
    </row>
    <row r="39" spans="1:13" ht="18" x14ac:dyDescent="0.25">
      <c r="B39" s="746" t="s">
        <v>420</v>
      </c>
      <c r="C39" s="110"/>
      <c r="D39" s="110"/>
    </row>
    <row r="40" spans="1:13" ht="18" x14ac:dyDescent="0.25">
      <c r="B40" s="662"/>
      <c r="C40" s="110"/>
      <c r="D40" s="110"/>
    </row>
    <row r="41" spans="1:13" ht="74.25" customHeight="1" x14ac:dyDescent="0.2">
      <c r="B41" s="666" t="s">
        <v>449</v>
      </c>
      <c r="E41" s="110"/>
      <c r="F41" s="110"/>
      <c r="G41" s="110"/>
      <c r="H41" s="110"/>
      <c r="I41" s="110"/>
      <c r="J41" s="110"/>
    </row>
    <row r="42" spans="1:13" ht="79.5" customHeight="1" x14ac:dyDescent="0.2">
      <c r="B42" s="666" t="s">
        <v>473</v>
      </c>
      <c r="E42" s="110"/>
      <c r="F42" s="110"/>
      <c r="G42" s="110"/>
      <c r="H42" s="110"/>
      <c r="I42" s="110"/>
      <c r="J42" s="110"/>
    </row>
    <row r="43" spans="1:13" ht="8.25" customHeight="1" x14ac:dyDescent="0.2">
      <c r="B43" s="107"/>
    </row>
    <row r="44" spans="1:13" s="563" customFormat="1" ht="22.5" customHeight="1" x14ac:dyDescent="0.25">
      <c r="B44" s="658" t="s">
        <v>325</v>
      </c>
    </row>
    <row r="45" spans="1:13" s="563" customFormat="1" ht="21.75" customHeight="1" x14ac:dyDescent="0.2">
      <c r="B45" s="667"/>
    </row>
    <row r="46" spans="1:13" s="563" customFormat="1" ht="14.25" x14ac:dyDescent="0.2">
      <c r="A46" s="668" t="s">
        <v>6</v>
      </c>
      <c r="B46" s="669" t="s">
        <v>328</v>
      </c>
    </row>
    <row r="47" spans="1:13" s="563" customFormat="1" ht="15" x14ac:dyDescent="0.25">
      <c r="A47" s="668"/>
      <c r="B47" s="669" t="s">
        <v>463</v>
      </c>
    </row>
    <row r="48" spans="1:13" s="563" customFormat="1" ht="14.25" x14ac:dyDescent="0.2">
      <c r="A48" s="668"/>
      <c r="B48" s="669"/>
    </row>
    <row r="49" spans="1:2" s="563" customFormat="1" ht="14.25" x14ac:dyDescent="0.2">
      <c r="A49" s="668" t="s">
        <v>6</v>
      </c>
      <c r="B49" s="669" t="s">
        <v>514</v>
      </c>
    </row>
    <row r="50" spans="1:2" s="563" customFormat="1" ht="14.25" x14ac:dyDescent="0.2">
      <c r="B50" s="669" t="s">
        <v>515</v>
      </c>
    </row>
    <row r="51" spans="1:2" s="563" customFormat="1" ht="14.25" x14ac:dyDescent="0.2">
      <c r="B51" s="669" t="s">
        <v>428</v>
      </c>
    </row>
    <row r="52" spans="1:2" s="563" customFormat="1" ht="14.25" x14ac:dyDescent="0.2">
      <c r="A52" s="668"/>
      <c r="B52" s="669"/>
    </row>
    <row r="53" spans="1:2" s="563" customFormat="1" ht="14.25" x14ac:dyDescent="0.2">
      <c r="A53" s="668" t="s">
        <v>6</v>
      </c>
      <c r="B53" s="669" t="s">
        <v>506</v>
      </c>
    </row>
    <row r="54" spans="1:2" s="563" customFormat="1" ht="14.25" x14ac:dyDescent="0.2">
      <c r="B54" s="669"/>
    </row>
    <row r="55" spans="1:2" s="563" customFormat="1" ht="14.25" x14ac:dyDescent="0.2">
      <c r="A55" s="668" t="s">
        <v>6</v>
      </c>
      <c r="B55" s="669" t="s">
        <v>372</v>
      </c>
    </row>
    <row r="56" spans="1:2" s="563" customFormat="1" ht="14.25" x14ac:dyDescent="0.2">
      <c r="B56" s="669" t="s">
        <v>373</v>
      </c>
    </row>
    <row r="57" spans="1:2" s="563" customFormat="1" ht="14.25" x14ac:dyDescent="0.2">
      <c r="B57" s="669"/>
    </row>
    <row r="58" spans="1:2" s="563" customFormat="1" ht="15" x14ac:dyDescent="0.25">
      <c r="A58" s="668" t="s">
        <v>6</v>
      </c>
      <c r="B58" s="669" t="s">
        <v>516</v>
      </c>
    </row>
    <row r="59" spans="1:2" s="563" customFormat="1" ht="14.25" x14ac:dyDescent="0.2">
      <c r="B59" s="669" t="s">
        <v>517</v>
      </c>
    </row>
    <row r="60" spans="1:2" s="563" customFormat="1" ht="14.25" x14ac:dyDescent="0.2">
      <c r="B60" s="669"/>
    </row>
    <row r="61" spans="1:2" s="563" customFormat="1" ht="14.25" x14ac:dyDescent="0.2">
      <c r="A61" s="668" t="s">
        <v>6</v>
      </c>
      <c r="B61" s="669" t="s">
        <v>329</v>
      </c>
    </row>
    <row r="62" spans="1:2" s="563" customFormat="1" ht="14.25" x14ac:dyDescent="0.2">
      <c r="B62" s="669" t="s">
        <v>518</v>
      </c>
    </row>
    <row r="63" spans="1:2" s="112" customFormat="1" ht="17.25" customHeight="1" x14ac:dyDescent="0.2">
      <c r="B63" s="670"/>
    </row>
    <row r="64" spans="1:2" ht="29.25" x14ac:dyDescent="0.2">
      <c r="B64" s="868" t="s">
        <v>519</v>
      </c>
    </row>
    <row r="65" spans="2:2" ht="14.25" x14ac:dyDescent="0.2">
      <c r="B65" s="669" t="s">
        <v>520</v>
      </c>
    </row>
  </sheetData>
  <sheetProtection sheet="1"/>
  <customSheetViews>
    <customSheetView guid="{B919D2EB-D122-4E25-8E52-25BE88B69D9E}" showPageBreaks="1" showGridLines="0" printArea="1">
      <selection activeCell="Q59" sqref="Q59"/>
      <rowBreaks count="1" manualBreakCount="1">
        <brk id="34" max="16383" man="1"/>
      </rowBreaks>
      <pageMargins left="0.57999999999999996" right="0.4" top="0.46" bottom="0.39370078740157483" header="0.56000000000000005" footer="0.51181102362204722"/>
      <pageSetup paperSize="9" scale="80"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1">
    <mergeCell ref="B14:B15"/>
  </mergeCells>
  <phoneticPr fontId="16" type="noConversion"/>
  <pageMargins left="0.59055118110236227" right="0.19685039370078741" top="0.47244094488188981" bottom="0.39370078740157483" header="0.55118110236220474" footer="0.11811023622047245"/>
  <pageSetup paperSize="9" scale="59" orientation="portrait" blackAndWhite="1" r:id="rId2"/>
  <headerFooter alignWithMargins="0">
    <oddFooter xml:space="preserve">&amp;C(C) Lerch Treuhand AG, Itingen
</oddFooter>
  </headerFooter>
  <rowBreaks count="1" manualBreakCount="1">
    <brk id="37" max="16383"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83D8F-3939-4A8F-82FC-D296DCD213CD}">
  <sheetPr codeName="Tabelle8">
    <tabColor indexed="10"/>
  </sheetPr>
  <dimension ref="A1:R74"/>
  <sheetViews>
    <sheetView showGridLines="0" showZeros="0" zoomScaleNormal="100" workbookViewId="0">
      <selection activeCell="K41" sqref="K41:L41"/>
    </sheetView>
  </sheetViews>
  <sheetFormatPr baseColWidth="10" defaultRowHeight="12.75" x14ac:dyDescent="0.2"/>
  <cols>
    <col min="1" max="1" width="21.140625" customWidth="1"/>
    <col min="2" max="2" width="9.42578125" customWidth="1"/>
    <col min="3" max="3" width="6.85546875" customWidth="1"/>
    <col min="4" max="4" width="7.7109375" customWidth="1"/>
    <col min="5" max="5" width="6.7109375" customWidth="1"/>
    <col min="6" max="6" width="4.28515625" customWidth="1"/>
    <col min="7" max="7" width="4.7109375" customWidth="1"/>
    <col min="8" max="8" width="4.5703125" customWidth="1"/>
    <col min="9" max="9" width="2.85546875" customWidth="1"/>
    <col min="10" max="10" width="6.140625" customWidth="1"/>
    <col min="11" max="11" width="5.42578125" customWidth="1"/>
    <col min="12" max="12" width="7.42578125" customWidth="1"/>
    <col min="13" max="13" width="12.28515625" customWidth="1"/>
    <col min="15" max="15" width="23.5703125" customWidth="1"/>
    <col min="16" max="16" width="14.28515625" customWidth="1"/>
    <col min="17" max="17" width="12.5703125" customWidth="1"/>
    <col min="18" max="18" width="14.42578125" customWidth="1"/>
  </cols>
  <sheetData>
    <row r="1" spans="1:18" ht="23.25" x14ac:dyDescent="0.35">
      <c r="A1" s="760">
        <f>DECKBLATT!B14</f>
        <v>0</v>
      </c>
    </row>
    <row r="2" spans="1:18" ht="9" customHeight="1" x14ac:dyDescent="0.35">
      <c r="B2" s="211"/>
      <c r="C2" s="211"/>
      <c r="D2" s="211"/>
      <c r="E2" s="211"/>
      <c r="F2" s="211"/>
      <c r="G2" s="211"/>
      <c r="H2" s="87"/>
    </row>
    <row r="3" spans="1:18" ht="27.75" customHeight="1" thickBot="1" x14ac:dyDescent="0.45">
      <c r="A3" s="748"/>
      <c r="B3" s="748"/>
      <c r="I3" s="27"/>
      <c r="K3" s="915">
        <f>DECKBLATT!B11</f>
        <v>46022</v>
      </c>
      <c r="L3" s="915"/>
      <c r="M3" s="915"/>
    </row>
    <row r="4" spans="1:18" ht="16.5" customHeight="1" x14ac:dyDescent="0.2">
      <c r="A4" s="1040" t="s">
        <v>37</v>
      </c>
      <c r="B4" s="1041"/>
      <c r="C4" s="1050" t="s">
        <v>69</v>
      </c>
      <c r="D4" s="1048" t="s">
        <v>38</v>
      </c>
      <c r="E4" s="1048" t="s">
        <v>39</v>
      </c>
      <c r="F4" s="1021" t="s">
        <v>290</v>
      </c>
      <c r="G4" s="1022"/>
      <c r="H4" s="1071" t="s">
        <v>278</v>
      </c>
      <c r="I4" s="1031" t="s">
        <v>70</v>
      </c>
      <c r="J4" s="1032"/>
      <c r="K4" s="1027" t="s">
        <v>72</v>
      </c>
      <c r="L4" s="1028"/>
      <c r="M4" s="1025" t="s">
        <v>71</v>
      </c>
    </row>
    <row r="5" spans="1:18" ht="13.5" thickBot="1" x14ac:dyDescent="0.25">
      <c r="A5" s="1042"/>
      <c r="B5" s="1043"/>
      <c r="C5" s="1051"/>
      <c r="D5" s="1049"/>
      <c r="E5" s="1049"/>
      <c r="F5" s="1023"/>
      <c r="G5" s="1024"/>
      <c r="H5" s="1072"/>
      <c r="I5" s="1033"/>
      <c r="J5" s="1034"/>
      <c r="K5" s="1029"/>
      <c r="L5" s="1030"/>
      <c r="M5" s="1026"/>
    </row>
    <row r="6" spans="1:18" ht="16.5" customHeight="1" x14ac:dyDescent="0.2">
      <c r="A6" s="749" t="s">
        <v>51</v>
      </c>
      <c r="B6" s="750" t="s">
        <v>50</v>
      </c>
      <c r="C6" s="252"/>
      <c r="D6" s="252"/>
      <c r="E6" s="253"/>
      <c r="F6" s="1019"/>
      <c r="G6" s="1020"/>
      <c r="H6" s="260"/>
      <c r="I6" s="1016"/>
      <c r="J6" s="1016"/>
      <c r="K6" s="261" t="s">
        <v>40</v>
      </c>
      <c r="L6" s="262">
        <v>350</v>
      </c>
      <c r="M6" s="679">
        <f>F6*L6</f>
        <v>0</v>
      </c>
      <c r="P6" s="1014"/>
      <c r="Q6" s="1014"/>
      <c r="R6" s="1014"/>
    </row>
    <row r="7" spans="1:18" ht="16.5" customHeight="1" x14ac:dyDescent="0.2">
      <c r="A7" s="366" t="s">
        <v>52</v>
      </c>
      <c r="B7" s="254" t="s">
        <v>50</v>
      </c>
      <c r="C7" s="255"/>
      <c r="D7" s="255"/>
      <c r="E7" s="256"/>
      <c r="F7" s="1017"/>
      <c r="G7" s="1018"/>
      <c r="H7" s="263"/>
      <c r="I7" s="1015"/>
      <c r="J7" s="1015"/>
      <c r="K7" s="264" t="s">
        <v>40</v>
      </c>
      <c r="L7" s="265">
        <v>350</v>
      </c>
      <c r="M7" s="680">
        <f t="shared" ref="M7:M16" si="0">F7*L7</f>
        <v>0</v>
      </c>
      <c r="P7" s="1014"/>
      <c r="Q7" s="1014"/>
      <c r="R7" s="1014"/>
    </row>
    <row r="8" spans="1:18" ht="16.5" customHeight="1" x14ac:dyDescent="0.2">
      <c r="A8" s="366" t="s">
        <v>53</v>
      </c>
      <c r="B8" s="254" t="s">
        <v>50</v>
      </c>
      <c r="C8" s="255"/>
      <c r="D8" s="255"/>
      <c r="E8" s="256"/>
      <c r="F8" s="1017"/>
      <c r="G8" s="1018"/>
      <c r="H8" s="263"/>
      <c r="I8" s="1015"/>
      <c r="J8" s="1015"/>
      <c r="K8" s="264" t="s">
        <v>40</v>
      </c>
      <c r="L8" s="265">
        <v>200</v>
      </c>
      <c r="M8" s="680">
        <f t="shared" si="0"/>
        <v>0</v>
      </c>
      <c r="P8" s="1014"/>
      <c r="Q8" s="1014"/>
      <c r="R8" s="1014"/>
    </row>
    <row r="9" spans="1:18" ht="16.5" customHeight="1" x14ac:dyDescent="0.2">
      <c r="A9" s="366" t="s">
        <v>54</v>
      </c>
      <c r="B9" s="254" t="s">
        <v>50</v>
      </c>
      <c r="C9" s="255"/>
      <c r="D9" s="255"/>
      <c r="E9" s="256"/>
      <c r="F9" s="1017"/>
      <c r="G9" s="1018"/>
      <c r="H9" s="263"/>
      <c r="I9" s="1015"/>
      <c r="J9" s="1015"/>
      <c r="K9" s="264" t="s">
        <v>40</v>
      </c>
      <c r="L9" s="265">
        <v>200</v>
      </c>
      <c r="M9" s="680">
        <f t="shared" si="0"/>
        <v>0</v>
      </c>
      <c r="P9" s="1014"/>
      <c r="Q9" s="1014"/>
      <c r="R9" s="1014"/>
    </row>
    <row r="10" spans="1:18" ht="16.5" customHeight="1" x14ac:dyDescent="0.2">
      <c r="A10" s="366" t="s">
        <v>55</v>
      </c>
      <c r="B10" s="254" t="s">
        <v>50</v>
      </c>
      <c r="C10" s="255"/>
      <c r="D10" s="255"/>
      <c r="E10" s="256"/>
      <c r="F10" s="1017"/>
      <c r="G10" s="1018"/>
      <c r="H10" s="263"/>
      <c r="I10" s="1015"/>
      <c r="J10" s="1015"/>
      <c r="K10" s="264" t="s">
        <v>40</v>
      </c>
      <c r="L10" s="265">
        <v>10</v>
      </c>
      <c r="M10" s="680">
        <f t="shared" si="0"/>
        <v>0</v>
      </c>
      <c r="P10" s="1014"/>
      <c r="Q10" s="1014"/>
      <c r="R10" s="1014"/>
    </row>
    <row r="11" spans="1:18" ht="16.5" customHeight="1" x14ac:dyDescent="0.2">
      <c r="A11" s="366" t="s">
        <v>56</v>
      </c>
      <c r="B11" s="254" t="s">
        <v>50</v>
      </c>
      <c r="C11" s="255"/>
      <c r="D11" s="255"/>
      <c r="E11" s="256"/>
      <c r="F11" s="1017"/>
      <c r="G11" s="1018"/>
      <c r="H11" s="263"/>
      <c r="I11" s="1015"/>
      <c r="J11" s="1015"/>
      <c r="K11" s="264" t="s">
        <v>40</v>
      </c>
      <c r="L11" s="265">
        <v>20</v>
      </c>
      <c r="M11" s="680">
        <f t="shared" si="0"/>
        <v>0</v>
      </c>
      <c r="P11" s="1014"/>
      <c r="Q11" s="1014"/>
      <c r="R11" s="1014"/>
    </row>
    <row r="12" spans="1:18" ht="16.5" customHeight="1" x14ac:dyDescent="0.2">
      <c r="A12" s="366" t="s">
        <v>57</v>
      </c>
      <c r="B12" s="254" t="s">
        <v>50</v>
      </c>
      <c r="C12" s="255"/>
      <c r="D12" s="255"/>
      <c r="E12" s="256"/>
      <c r="F12" s="1017"/>
      <c r="G12" s="1018"/>
      <c r="H12" s="263"/>
      <c r="I12" s="1015"/>
      <c r="J12" s="1015"/>
      <c r="K12" s="264" t="s">
        <v>40</v>
      </c>
      <c r="L12" s="265">
        <v>30</v>
      </c>
      <c r="M12" s="680">
        <f t="shared" si="0"/>
        <v>0</v>
      </c>
      <c r="P12" s="1014"/>
      <c r="Q12" s="1014"/>
      <c r="R12" s="1014"/>
    </row>
    <row r="13" spans="1:18" ht="16.5" customHeight="1" x14ac:dyDescent="0.2">
      <c r="A13" s="366" t="s">
        <v>58</v>
      </c>
      <c r="B13" s="254" t="s">
        <v>50</v>
      </c>
      <c r="C13" s="255"/>
      <c r="D13" s="255"/>
      <c r="E13" s="256"/>
      <c r="F13" s="1017"/>
      <c r="G13" s="1018"/>
      <c r="H13" s="263"/>
      <c r="I13" s="1015"/>
      <c r="J13" s="1015"/>
      <c r="K13" s="264" t="s">
        <v>40</v>
      </c>
      <c r="L13" s="265">
        <v>45</v>
      </c>
      <c r="M13" s="680">
        <f t="shared" si="0"/>
        <v>0</v>
      </c>
      <c r="P13" s="1014"/>
      <c r="Q13" s="1014"/>
      <c r="R13" s="1014"/>
    </row>
    <row r="14" spans="1:18" ht="16.5" customHeight="1" x14ac:dyDescent="0.2">
      <c r="A14" s="366" t="s">
        <v>59</v>
      </c>
      <c r="B14" s="254" t="s">
        <v>50</v>
      </c>
      <c r="C14" s="255"/>
      <c r="D14" s="255"/>
      <c r="E14" s="256"/>
      <c r="F14" s="1017"/>
      <c r="G14" s="1018"/>
      <c r="H14" s="263"/>
      <c r="I14" s="1015"/>
      <c r="J14" s="1015"/>
      <c r="K14" s="264" t="s">
        <v>40</v>
      </c>
      <c r="L14" s="265">
        <v>55</v>
      </c>
      <c r="M14" s="680">
        <f t="shared" si="0"/>
        <v>0</v>
      </c>
      <c r="O14" s="8" t="s">
        <v>500</v>
      </c>
      <c r="P14" s="1014"/>
      <c r="Q14" s="1014"/>
      <c r="R14" s="1014"/>
    </row>
    <row r="15" spans="1:18" ht="16.5" customHeight="1" x14ac:dyDescent="0.2">
      <c r="A15" s="366" t="s">
        <v>60</v>
      </c>
      <c r="B15" s="254" t="s">
        <v>50</v>
      </c>
      <c r="C15" s="255"/>
      <c r="D15" s="255"/>
      <c r="E15" s="256"/>
      <c r="F15" s="1017"/>
      <c r="G15" s="1018"/>
      <c r="H15" s="263"/>
      <c r="I15" s="1015"/>
      <c r="J15" s="1015"/>
      <c r="K15" s="264" t="s">
        <v>40</v>
      </c>
      <c r="L15" s="265">
        <v>65</v>
      </c>
      <c r="M15" s="680">
        <f t="shared" si="0"/>
        <v>0</v>
      </c>
      <c r="P15" s="1014"/>
      <c r="Q15" s="1014"/>
      <c r="R15" s="1014"/>
    </row>
    <row r="16" spans="1:18" ht="16.5" customHeight="1" x14ac:dyDescent="0.2">
      <c r="A16" s="366" t="s">
        <v>61</v>
      </c>
      <c r="B16" s="254" t="s">
        <v>50</v>
      </c>
      <c r="C16" s="255"/>
      <c r="D16" s="255"/>
      <c r="E16" s="256"/>
      <c r="F16" s="1017"/>
      <c r="G16" s="1018"/>
      <c r="H16" s="263"/>
      <c r="I16" s="1015"/>
      <c r="J16" s="1015"/>
      <c r="K16" s="264" t="s">
        <v>40</v>
      </c>
      <c r="L16" s="265">
        <v>75</v>
      </c>
      <c r="M16" s="680">
        <f t="shared" si="0"/>
        <v>0</v>
      </c>
      <c r="P16" s="1014"/>
      <c r="Q16" s="1014"/>
      <c r="R16" s="1014"/>
    </row>
    <row r="17" spans="1:18" ht="16.5" customHeight="1" x14ac:dyDescent="0.2">
      <c r="A17" s="366" t="s">
        <v>269</v>
      </c>
      <c r="B17" s="254" t="s">
        <v>50</v>
      </c>
      <c r="C17" s="255"/>
      <c r="D17" s="255"/>
      <c r="E17" s="256"/>
      <c r="F17" s="1017"/>
      <c r="G17" s="1018"/>
      <c r="H17" s="266">
        <v>16</v>
      </c>
      <c r="I17" s="267" t="s">
        <v>22</v>
      </c>
      <c r="J17" s="268">
        <f t="shared" ref="J17:J32" si="1">F17*H17</f>
        <v>0</v>
      </c>
      <c r="K17" s="264" t="s">
        <v>536</v>
      </c>
      <c r="L17" s="265">
        <v>5.8</v>
      </c>
      <c r="M17" s="680">
        <f>L17*J17</f>
        <v>0</v>
      </c>
      <c r="P17" s="1014"/>
      <c r="Q17" s="1014"/>
      <c r="R17" s="1014"/>
    </row>
    <row r="18" spans="1:18" ht="16.5" customHeight="1" x14ac:dyDescent="0.2">
      <c r="A18" s="366" t="s">
        <v>62</v>
      </c>
      <c r="B18" s="254" t="s">
        <v>50</v>
      </c>
      <c r="C18" s="255"/>
      <c r="D18" s="255"/>
      <c r="E18" s="256"/>
      <c r="F18" s="1017"/>
      <c r="G18" s="1018"/>
      <c r="H18" s="266">
        <v>18</v>
      </c>
      <c r="I18" s="267" t="s">
        <v>22</v>
      </c>
      <c r="J18" s="268">
        <f t="shared" si="1"/>
        <v>0</v>
      </c>
      <c r="K18" s="264" t="s">
        <v>536</v>
      </c>
      <c r="L18" s="265">
        <v>5.65</v>
      </c>
      <c r="M18" s="680">
        <f t="shared" ref="M18:M32" si="2">L18*J18</f>
        <v>0</v>
      </c>
      <c r="P18" s="1014"/>
      <c r="Q18" s="1014"/>
      <c r="R18" s="1014"/>
    </row>
    <row r="19" spans="1:18" ht="16.5" customHeight="1" x14ac:dyDescent="0.2">
      <c r="A19" s="681" t="s">
        <v>502</v>
      </c>
      <c r="B19" s="257" t="s">
        <v>50</v>
      </c>
      <c r="C19" s="258"/>
      <c r="D19" s="258"/>
      <c r="E19" s="259"/>
      <c r="F19" s="1038"/>
      <c r="G19" s="1039"/>
      <c r="H19" s="847">
        <v>20</v>
      </c>
      <c r="I19" s="270" t="s">
        <v>22</v>
      </c>
      <c r="J19" s="271">
        <f t="shared" si="1"/>
        <v>0</v>
      </c>
      <c r="K19" s="272" t="s">
        <v>536</v>
      </c>
      <c r="L19" s="273">
        <v>5.5</v>
      </c>
      <c r="M19" s="682">
        <f t="shared" si="2"/>
        <v>0</v>
      </c>
      <c r="N19" s="4"/>
      <c r="P19" s="1014"/>
      <c r="Q19" s="1014"/>
      <c r="R19" s="1014"/>
    </row>
    <row r="20" spans="1:18" ht="16.5" customHeight="1" x14ac:dyDescent="0.2">
      <c r="A20" s="749" t="s">
        <v>503</v>
      </c>
      <c r="B20" s="750" t="s">
        <v>50</v>
      </c>
      <c r="C20" s="841"/>
      <c r="D20" s="841"/>
      <c r="E20" s="842"/>
      <c r="F20" s="1012"/>
      <c r="G20" s="1013"/>
      <c r="H20" s="843">
        <v>20</v>
      </c>
      <c r="I20" s="844" t="s">
        <v>22</v>
      </c>
      <c r="J20" s="268">
        <f t="shared" si="1"/>
        <v>0</v>
      </c>
      <c r="K20" s="845" t="s">
        <v>536</v>
      </c>
      <c r="L20" s="846">
        <v>4.4000000000000004</v>
      </c>
      <c r="M20" s="680">
        <f t="shared" si="2"/>
        <v>0</v>
      </c>
      <c r="N20" s="4"/>
      <c r="P20" s="1014"/>
      <c r="Q20" s="1014"/>
      <c r="R20" s="1014"/>
    </row>
    <row r="21" spans="1:18" ht="16.5" customHeight="1" x14ac:dyDescent="0.2">
      <c r="A21" s="366" t="s">
        <v>498</v>
      </c>
      <c r="B21" s="254" t="s">
        <v>50</v>
      </c>
      <c r="C21" s="255"/>
      <c r="D21" s="255"/>
      <c r="E21" s="256"/>
      <c r="F21" s="1017"/>
      <c r="G21" s="1018"/>
      <c r="H21" s="266">
        <v>25</v>
      </c>
      <c r="I21" s="267" t="s">
        <v>22</v>
      </c>
      <c r="J21" s="268">
        <f t="shared" si="1"/>
        <v>0</v>
      </c>
      <c r="K21" s="264" t="s">
        <v>536</v>
      </c>
      <c r="L21" s="265">
        <v>4.3</v>
      </c>
      <c r="M21" s="680">
        <f t="shared" si="2"/>
        <v>0</v>
      </c>
      <c r="P21" s="1014"/>
      <c r="Q21" s="1014"/>
      <c r="R21" s="1014"/>
    </row>
    <row r="22" spans="1:18" ht="16.5" customHeight="1" x14ac:dyDescent="0.2">
      <c r="A22" s="366" t="s">
        <v>496</v>
      </c>
      <c r="B22" s="254" t="s">
        <v>50</v>
      </c>
      <c r="C22" s="255"/>
      <c r="D22" s="255"/>
      <c r="E22" s="256"/>
      <c r="F22" s="1017"/>
      <c r="G22" s="1018"/>
      <c r="H22" s="266">
        <v>30</v>
      </c>
      <c r="I22" s="267" t="s">
        <v>22</v>
      </c>
      <c r="J22" s="268">
        <f t="shared" si="1"/>
        <v>0</v>
      </c>
      <c r="K22" s="264" t="s">
        <v>536</v>
      </c>
      <c r="L22" s="265">
        <v>4.25</v>
      </c>
      <c r="M22" s="680">
        <f t="shared" si="2"/>
        <v>0</v>
      </c>
      <c r="P22" s="1014"/>
      <c r="Q22" s="1014"/>
      <c r="R22" s="1014"/>
    </row>
    <row r="23" spans="1:18" ht="16.5" customHeight="1" x14ac:dyDescent="0.2">
      <c r="A23" s="366" t="s">
        <v>499</v>
      </c>
      <c r="B23" s="254" t="s">
        <v>50</v>
      </c>
      <c r="C23" s="255"/>
      <c r="D23" s="255"/>
      <c r="E23" s="256"/>
      <c r="F23" s="1017"/>
      <c r="G23" s="1018"/>
      <c r="H23" s="266">
        <v>35</v>
      </c>
      <c r="I23" s="267" t="s">
        <v>22</v>
      </c>
      <c r="J23" s="268">
        <f t="shared" si="1"/>
        <v>0</v>
      </c>
      <c r="K23" s="264" t="s">
        <v>536</v>
      </c>
      <c r="L23" s="265">
        <v>4.2</v>
      </c>
      <c r="M23" s="680">
        <f t="shared" si="2"/>
        <v>0</v>
      </c>
      <c r="P23" s="1014"/>
      <c r="Q23" s="1014"/>
      <c r="R23" s="1014"/>
    </row>
    <row r="24" spans="1:18" ht="16.5" customHeight="1" x14ac:dyDescent="0.2">
      <c r="A24" s="366" t="s">
        <v>497</v>
      </c>
      <c r="B24" s="254" t="s">
        <v>50</v>
      </c>
      <c r="C24" s="255"/>
      <c r="D24" s="255"/>
      <c r="E24" s="256"/>
      <c r="F24" s="1017"/>
      <c r="G24" s="1018"/>
      <c r="H24" s="266">
        <v>40</v>
      </c>
      <c r="I24" s="267" t="s">
        <v>22</v>
      </c>
      <c r="J24" s="268">
        <f t="shared" si="1"/>
        <v>0</v>
      </c>
      <c r="K24" s="264" t="s">
        <v>536</v>
      </c>
      <c r="L24" s="265">
        <v>4.0999999999999996</v>
      </c>
      <c r="M24" s="680">
        <f t="shared" si="2"/>
        <v>0</v>
      </c>
      <c r="P24" s="1014"/>
      <c r="Q24" s="1014"/>
      <c r="R24" s="1014"/>
    </row>
    <row r="25" spans="1:18" ht="16.5" customHeight="1" x14ac:dyDescent="0.2">
      <c r="A25" s="366" t="s">
        <v>63</v>
      </c>
      <c r="B25" s="254" t="s">
        <v>50</v>
      </c>
      <c r="C25" s="255"/>
      <c r="D25" s="255"/>
      <c r="E25" s="256"/>
      <c r="F25" s="1017"/>
      <c r="G25" s="1018"/>
      <c r="H25" s="266">
        <v>50</v>
      </c>
      <c r="I25" s="267" t="s">
        <v>22</v>
      </c>
      <c r="J25" s="268">
        <f t="shared" si="1"/>
        <v>0</v>
      </c>
      <c r="K25" s="264" t="s">
        <v>536</v>
      </c>
      <c r="L25" s="265">
        <v>3.95</v>
      </c>
      <c r="M25" s="680">
        <f t="shared" si="2"/>
        <v>0</v>
      </c>
      <c r="P25" s="1014"/>
      <c r="Q25" s="1014"/>
      <c r="R25" s="1014"/>
    </row>
    <row r="26" spans="1:18" ht="16.5" customHeight="1" x14ac:dyDescent="0.2">
      <c r="A26" s="366" t="s">
        <v>64</v>
      </c>
      <c r="B26" s="254" t="s">
        <v>50</v>
      </c>
      <c r="C26" s="255"/>
      <c r="D26" s="255"/>
      <c r="E26" s="256"/>
      <c r="F26" s="1017"/>
      <c r="G26" s="1018"/>
      <c r="H26" s="266">
        <v>60</v>
      </c>
      <c r="I26" s="267" t="s">
        <v>22</v>
      </c>
      <c r="J26" s="268">
        <f t="shared" si="1"/>
        <v>0</v>
      </c>
      <c r="K26" s="264" t="s">
        <v>536</v>
      </c>
      <c r="L26" s="265">
        <v>3.8</v>
      </c>
      <c r="M26" s="680">
        <f t="shared" si="2"/>
        <v>0</v>
      </c>
      <c r="O26" s="8" t="s">
        <v>501</v>
      </c>
      <c r="P26" s="1014"/>
      <c r="Q26" s="1014"/>
      <c r="R26" s="1014"/>
    </row>
    <row r="27" spans="1:18" ht="16.5" customHeight="1" x14ac:dyDescent="0.2">
      <c r="A27" s="366" t="s">
        <v>65</v>
      </c>
      <c r="B27" s="254" t="s">
        <v>50</v>
      </c>
      <c r="C27" s="255"/>
      <c r="D27" s="255"/>
      <c r="E27" s="256"/>
      <c r="F27" s="1017"/>
      <c r="G27" s="1018"/>
      <c r="H27" s="266">
        <v>70</v>
      </c>
      <c r="I27" s="267" t="s">
        <v>22</v>
      </c>
      <c r="J27" s="268">
        <f t="shared" si="1"/>
        <v>0</v>
      </c>
      <c r="K27" s="264" t="s">
        <v>536</v>
      </c>
      <c r="L27" s="265">
        <v>3.65</v>
      </c>
      <c r="M27" s="680">
        <f t="shared" si="2"/>
        <v>0</v>
      </c>
      <c r="P27" s="1014"/>
      <c r="Q27" s="1014"/>
      <c r="R27" s="1014"/>
    </row>
    <row r="28" spans="1:18" ht="16.5" customHeight="1" x14ac:dyDescent="0.2">
      <c r="A28" s="366" t="s">
        <v>66</v>
      </c>
      <c r="B28" s="254" t="s">
        <v>50</v>
      </c>
      <c r="C28" s="255"/>
      <c r="D28" s="255"/>
      <c r="E28" s="256"/>
      <c r="F28" s="1017"/>
      <c r="G28" s="1018"/>
      <c r="H28" s="266">
        <v>80</v>
      </c>
      <c r="I28" s="267" t="s">
        <v>22</v>
      </c>
      <c r="J28" s="268">
        <f t="shared" si="1"/>
        <v>0</v>
      </c>
      <c r="K28" s="264" t="s">
        <v>536</v>
      </c>
      <c r="L28" s="265">
        <v>3.5</v>
      </c>
      <c r="M28" s="680">
        <f t="shared" si="2"/>
        <v>0</v>
      </c>
      <c r="P28" s="1014"/>
      <c r="Q28" s="1014"/>
      <c r="R28" s="1014"/>
    </row>
    <row r="29" spans="1:18" ht="16.5" customHeight="1" x14ac:dyDescent="0.2">
      <c r="A29" s="366" t="s">
        <v>67</v>
      </c>
      <c r="B29" s="254" t="s">
        <v>50</v>
      </c>
      <c r="C29" s="255"/>
      <c r="D29" s="255"/>
      <c r="E29" s="256"/>
      <c r="F29" s="1017"/>
      <c r="G29" s="1018"/>
      <c r="H29" s="266">
        <v>90</v>
      </c>
      <c r="I29" s="267" t="s">
        <v>22</v>
      </c>
      <c r="J29" s="268">
        <f t="shared" si="1"/>
        <v>0</v>
      </c>
      <c r="K29" s="264" t="s">
        <v>536</v>
      </c>
      <c r="L29" s="265">
        <v>3.35</v>
      </c>
      <c r="M29" s="680">
        <f t="shared" si="2"/>
        <v>0</v>
      </c>
    </row>
    <row r="30" spans="1:18" ht="16.5" customHeight="1" x14ac:dyDescent="0.2">
      <c r="A30" s="366" t="s">
        <v>68</v>
      </c>
      <c r="B30" s="254" t="s">
        <v>50</v>
      </c>
      <c r="C30" s="255"/>
      <c r="D30" s="255"/>
      <c r="E30" s="256"/>
      <c r="F30" s="1017"/>
      <c r="G30" s="1018"/>
      <c r="H30" s="266">
        <v>100</v>
      </c>
      <c r="I30" s="267" t="s">
        <v>22</v>
      </c>
      <c r="J30" s="268">
        <f t="shared" si="1"/>
        <v>0</v>
      </c>
      <c r="K30" s="264" t="s">
        <v>536</v>
      </c>
      <c r="L30" s="265">
        <v>3.2</v>
      </c>
      <c r="M30" s="680">
        <f t="shared" si="2"/>
        <v>0</v>
      </c>
    </row>
    <row r="31" spans="1:18" ht="16.5" customHeight="1" x14ac:dyDescent="0.2">
      <c r="A31" s="366" t="s">
        <v>270</v>
      </c>
      <c r="B31" s="254" t="s">
        <v>50</v>
      </c>
      <c r="C31" s="255"/>
      <c r="D31" s="255"/>
      <c r="E31" s="256"/>
      <c r="F31" s="1017"/>
      <c r="G31" s="1018"/>
      <c r="H31" s="266">
        <v>110</v>
      </c>
      <c r="I31" s="267" t="s">
        <v>22</v>
      </c>
      <c r="J31" s="268">
        <f t="shared" si="1"/>
        <v>0</v>
      </c>
      <c r="K31" s="264" t="s">
        <v>536</v>
      </c>
      <c r="L31" s="265">
        <v>3.05</v>
      </c>
      <c r="M31" s="680">
        <f t="shared" si="2"/>
        <v>0</v>
      </c>
    </row>
    <row r="32" spans="1:18" ht="16.5" customHeight="1" thickBot="1" x14ac:dyDescent="0.25">
      <c r="A32" s="681" t="s">
        <v>271</v>
      </c>
      <c r="B32" s="257" t="s">
        <v>50</v>
      </c>
      <c r="C32" s="258"/>
      <c r="D32" s="258"/>
      <c r="E32" s="259"/>
      <c r="F32" s="1088"/>
      <c r="G32" s="1089"/>
      <c r="H32" s="269">
        <v>120</v>
      </c>
      <c r="I32" s="270" t="s">
        <v>22</v>
      </c>
      <c r="J32" s="271">
        <f t="shared" si="1"/>
        <v>0</v>
      </c>
      <c r="K32" s="272" t="s">
        <v>536</v>
      </c>
      <c r="L32" s="273">
        <v>2.9</v>
      </c>
      <c r="M32" s="682">
        <f t="shared" si="2"/>
        <v>0</v>
      </c>
    </row>
    <row r="33" spans="1:18" ht="6.75" customHeight="1" thickBot="1" x14ac:dyDescent="0.25">
      <c r="A33" s="683"/>
      <c r="B33" s="28"/>
      <c r="C33" s="12"/>
      <c r="D33" s="12"/>
      <c r="E33" s="12"/>
      <c r="F33" s="12"/>
      <c r="G33" s="12"/>
      <c r="H33" s="12"/>
      <c r="I33" s="12"/>
      <c r="J33" s="12"/>
      <c r="K33" s="12"/>
      <c r="L33" s="30"/>
      <c r="M33" s="225"/>
    </row>
    <row r="34" spans="1:18" ht="16.5" customHeight="1" thickBot="1" x14ac:dyDescent="0.25">
      <c r="A34" s="1052" t="s">
        <v>35</v>
      </c>
      <c r="B34" s="1053"/>
      <c r="C34" s="1053"/>
      <c r="D34" s="1053"/>
      <c r="E34" s="1053"/>
      <c r="F34" s="686" t="s">
        <v>73</v>
      </c>
      <c r="G34" s="275">
        <f>SUM(F6:G32)</f>
        <v>0</v>
      </c>
      <c r="H34" s="685"/>
      <c r="I34" s="686" t="s">
        <v>22</v>
      </c>
      <c r="J34" s="687">
        <f>SUM(J18+J19+J21+J22+J23+J24+J25+J26+J27+J28+J29+J30)</f>
        <v>0</v>
      </c>
      <c r="K34" s="684"/>
      <c r="L34" s="688"/>
      <c r="M34" s="274">
        <f>SUM(M6:M33)</f>
        <v>0</v>
      </c>
    </row>
    <row r="35" spans="1:18" ht="6.75" customHeight="1" thickBot="1" x14ac:dyDescent="0.25"/>
    <row r="36" spans="1:18" ht="18" x14ac:dyDescent="0.25">
      <c r="A36" s="747" t="s">
        <v>41</v>
      </c>
      <c r="B36" s="689"/>
      <c r="C36" s="221"/>
      <c r="D36" s="221"/>
      <c r="E36" s="222"/>
      <c r="G36" s="747" t="s">
        <v>45</v>
      </c>
      <c r="H36" s="689"/>
      <c r="I36" s="221"/>
      <c r="J36" s="221"/>
      <c r="K36" s="221"/>
      <c r="L36" s="221"/>
      <c r="M36" s="222"/>
      <c r="O36" s="98" t="s">
        <v>279</v>
      </c>
      <c r="Q36" s="902" t="s">
        <v>529</v>
      </c>
      <c r="R36" s="902" t="s">
        <v>530</v>
      </c>
    </row>
    <row r="37" spans="1:18" ht="6.75" customHeight="1" x14ac:dyDescent="0.2">
      <c r="A37" s="690"/>
      <c r="B37" s="691"/>
      <c r="C37" s="12"/>
      <c r="D37" s="12"/>
      <c r="E37" s="225"/>
      <c r="G37" s="223"/>
      <c r="H37" s="12"/>
      <c r="I37" s="12"/>
      <c r="J37" s="12"/>
      <c r="K37" s="12"/>
      <c r="L37" s="12"/>
      <c r="M37" s="225"/>
    </row>
    <row r="38" spans="1:18" ht="21" customHeight="1" thickBot="1" x14ac:dyDescent="0.25">
      <c r="A38" s="1044" t="s">
        <v>283</v>
      </c>
      <c r="B38" s="1045"/>
      <c r="C38" s="168" t="s">
        <v>304</v>
      </c>
      <c r="D38" s="1046" t="s">
        <v>42</v>
      </c>
      <c r="E38" s="1047"/>
      <c r="G38" s="1109" t="s">
        <v>297</v>
      </c>
      <c r="H38" s="1110"/>
      <c r="I38" s="1105"/>
      <c r="J38" s="159" t="s">
        <v>303</v>
      </c>
      <c r="K38" s="1046" t="s">
        <v>42</v>
      </c>
      <c r="L38" s="1105"/>
      <c r="M38" s="693" t="s">
        <v>339</v>
      </c>
      <c r="O38" s="97" t="s">
        <v>280</v>
      </c>
      <c r="P38" s="903">
        <v>1000</v>
      </c>
      <c r="Q38" s="863"/>
      <c r="R38" s="863"/>
    </row>
    <row r="39" spans="1:18" ht="16.5" customHeight="1" x14ac:dyDescent="0.2">
      <c r="A39" s="677"/>
      <c r="B39" s="251" t="s">
        <v>43</v>
      </c>
      <c r="C39" s="860"/>
      <c r="D39" s="1075"/>
      <c r="E39" s="1076"/>
      <c r="G39" s="1093" t="s">
        <v>46</v>
      </c>
      <c r="H39" s="1094"/>
      <c r="I39" s="1095"/>
      <c r="J39" s="731"/>
      <c r="K39" s="1106">
        <v>375</v>
      </c>
      <c r="L39" s="1107"/>
      <c r="M39" s="694">
        <f>J39*K39</f>
        <v>0</v>
      </c>
      <c r="O39" s="97" t="s">
        <v>281</v>
      </c>
      <c r="P39" s="903">
        <v>2000</v>
      </c>
      <c r="Q39" s="863">
        <v>1500</v>
      </c>
      <c r="R39" s="863">
        <v>2500</v>
      </c>
    </row>
    <row r="40" spans="1:18" ht="16.5" customHeight="1" x14ac:dyDescent="0.2">
      <c r="A40" s="678"/>
      <c r="B40" s="254" t="s">
        <v>43</v>
      </c>
      <c r="C40" s="861"/>
      <c r="D40" s="1054"/>
      <c r="E40" s="1055"/>
      <c r="G40" s="1077" t="s">
        <v>47</v>
      </c>
      <c r="H40" s="1078"/>
      <c r="I40" s="1079"/>
      <c r="J40" s="732"/>
      <c r="K40" s="1091">
        <v>200</v>
      </c>
      <c r="L40" s="1092"/>
      <c r="M40" s="695">
        <f>(J40*K40)</f>
        <v>0</v>
      </c>
      <c r="O40" s="97" t="s">
        <v>282</v>
      </c>
      <c r="P40" s="903">
        <v>2300</v>
      </c>
      <c r="Q40" s="863">
        <v>2000</v>
      </c>
      <c r="R40" s="863">
        <v>2600</v>
      </c>
    </row>
    <row r="41" spans="1:18" ht="16.5" customHeight="1" x14ac:dyDescent="0.2">
      <c r="A41" s="678"/>
      <c r="B41" s="254" t="s">
        <v>43</v>
      </c>
      <c r="C41" s="861"/>
      <c r="D41" s="1054"/>
      <c r="E41" s="1055"/>
      <c r="G41" s="1077" t="s">
        <v>48</v>
      </c>
      <c r="H41" s="1078"/>
      <c r="I41" s="1079"/>
      <c r="J41" s="732"/>
      <c r="K41" s="1091">
        <v>200</v>
      </c>
      <c r="L41" s="1092"/>
      <c r="M41" s="695">
        <f>(J41*K41)</f>
        <v>0</v>
      </c>
      <c r="O41" s="7" t="s">
        <v>531</v>
      </c>
      <c r="P41" s="903">
        <v>4000</v>
      </c>
      <c r="Q41" s="863">
        <v>3000</v>
      </c>
      <c r="R41" s="863">
        <v>5000</v>
      </c>
    </row>
    <row r="42" spans="1:18" ht="16.5" customHeight="1" x14ac:dyDescent="0.2">
      <c r="A42" s="678"/>
      <c r="B42" s="254" t="s">
        <v>43</v>
      </c>
      <c r="C42" s="861"/>
      <c r="D42" s="1054"/>
      <c r="E42" s="1055"/>
      <c r="G42" s="1077" t="s">
        <v>338</v>
      </c>
      <c r="H42" s="1078"/>
      <c r="I42" s="1079"/>
      <c r="J42" s="732"/>
      <c r="K42" s="1091">
        <v>125</v>
      </c>
      <c r="L42" s="1092"/>
      <c r="M42" s="695">
        <f>(J42*K42)</f>
        <v>0</v>
      </c>
      <c r="O42" s="97" t="s">
        <v>285</v>
      </c>
      <c r="P42" s="904">
        <v>1000</v>
      </c>
      <c r="Q42" s="863"/>
      <c r="R42" s="863"/>
    </row>
    <row r="43" spans="1:18" ht="16.5" customHeight="1" thickBot="1" x14ac:dyDescent="0.25">
      <c r="A43" s="692"/>
      <c r="B43" s="257" t="s">
        <v>43</v>
      </c>
      <c r="C43" s="862"/>
      <c r="D43" s="1080"/>
      <c r="E43" s="1081"/>
      <c r="G43" s="1082"/>
      <c r="H43" s="1083"/>
      <c r="I43" s="1084"/>
      <c r="J43" s="733"/>
      <c r="K43" s="1102"/>
      <c r="L43" s="1103"/>
      <c r="M43" s="696">
        <f>(J43*K43)</f>
        <v>0</v>
      </c>
      <c r="O43" s="97" t="s">
        <v>286</v>
      </c>
      <c r="P43" s="904">
        <v>500</v>
      </c>
      <c r="Q43" s="863"/>
      <c r="R43" s="863"/>
    </row>
    <row r="44" spans="1:18" ht="18" customHeight="1" thickBot="1" x14ac:dyDescent="0.25">
      <c r="A44" s="1056" t="s">
        <v>9</v>
      </c>
      <c r="B44" s="1057"/>
      <c r="C44" s="1057"/>
      <c r="D44" s="1073">
        <f>SUM(D39:E43)</f>
        <v>0</v>
      </c>
      <c r="E44" s="1074"/>
      <c r="G44" s="1052" t="s">
        <v>9</v>
      </c>
      <c r="H44" s="1053"/>
      <c r="I44" s="1053"/>
      <c r="J44" s="1108"/>
      <c r="K44" s="1053"/>
      <c r="L44" s="1053"/>
      <c r="M44" s="120">
        <f>SUM(M39:M43)</f>
        <v>0</v>
      </c>
      <c r="O44" s="7" t="s">
        <v>512</v>
      </c>
    </row>
    <row r="45" spans="1:18" s="51" customFormat="1" ht="6.75" customHeight="1" thickBot="1" x14ac:dyDescent="0.25">
      <c r="A45" s="605"/>
      <c r="B45" s="605"/>
      <c r="C45" s="605"/>
      <c r="D45" s="697"/>
      <c r="E45" s="697"/>
      <c r="G45" s="698"/>
      <c r="H45" s="698"/>
      <c r="I45" s="698"/>
      <c r="J45" s="698"/>
      <c r="K45" s="698"/>
      <c r="L45" s="698"/>
      <c r="M45" s="699"/>
    </row>
    <row r="46" spans="1:18" ht="20.25" customHeight="1" x14ac:dyDescent="0.25">
      <c r="A46" s="747" t="s">
        <v>44</v>
      </c>
      <c r="B46" s="689"/>
      <c r="C46" s="221"/>
      <c r="D46" s="221"/>
      <c r="E46" s="221"/>
      <c r="F46" s="221"/>
      <c r="G46" s="221"/>
      <c r="H46" s="221"/>
      <c r="I46" s="221"/>
      <c r="J46" s="221"/>
      <c r="K46" s="221"/>
      <c r="L46" s="221"/>
      <c r="M46" s="222"/>
      <c r="O46" s="98" t="s">
        <v>305</v>
      </c>
      <c r="P46" s="99" t="s">
        <v>40</v>
      </c>
      <c r="Q46" s="902" t="s">
        <v>529</v>
      </c>
      <c r="R46" s="902" t="s">
        <v>530</v>
      </c>
    </row>
    <row r="47" spans="1:18" ht="5.25" customHeight="1" x14ac:dyDescent="0.2">
      <c r="A47" s="700"/>
      <c r="B47" s="701"/>
      <c r="C47" s="12"/>
      <c r="D47" s="12"/>
      <c r="E47" s="12"/>
      <c r="F47" s="12"/>
      <c r="G47" s="12"/>
      <c r="H47" s="12"/>
      <c r="I47" s="12"/>
      <c r="J47" s="12"/>
      <c r="K47" s="12"/>
      <c r="L47" s="12"/>
      <c r="M47" s="225"/>
      <c r="O47" s="97" t="s">
        <v>302</v>
      </c>
      <c r="Q47" s="16"/>
    </row>
    <row r="48" spans="1:18" ht="22.5" customHeight="1" thickBot="1" x14ac:dyDescent="0.25">
      <c r="A48" s="1035" t="s">
        <v>289</v>
      </c>
      <c r="B48" s="1036"/>
      <c r="C48" s="1037"/>
      <c r="D48" s="1066" t="s">
        <v>49</v>
      </c>
      <c r="E48" s="1067"/>
      <c r="F48" s="1067"/>
      <c r="G48" s="1068"/>
      <c r="H48" s="118"/>
      <c r="I48" s="1046" t="s">
        <v>42</v>
      </c>
      <c r="J48" s="1110"/>
      <c r="K48" s="1105"/>
      <c r="L48" s="1046" t="s">
        <v>341</v>
      </c>
      <c r="M48" s="1047"/>
      <c r="O48" s="7" t="s">
        <v>494</v>
      </c>
      <c r="P48" s="903">
        <v>200</v>
      </c>
      <c r="Q48" s="126"/>
      <c r="R48" s="126"/>
    </row>
    <row r="49" spans="1:18" ht="16.5" customHeight="1" thickBot="1" x14ac:dyDescent="0.25">
      <c r="A49" s="1093" t="s">
        <v>75</v>
      </c>
      <c r="B49" s="1094"/>
      <c r="C49" s="734" t="s">
        <v>74</v>
      </c>
      <c r="D49" s="1099"/>
      <c r="E49" s="1100"/>
      <c r="F49" s="1100"/>
      <c r="G49" s="1101"/>
      <c r="H49" s="735"/>
      <c r="I49" s="1096"/>
      <c r="J49" s="1096"/>
      <c r="K49" s="1096"/>
      <c r="L49" s="1064">
        <f>(D49*I49)</f>
        <v>0</v>
      </c>
      <c r="M49" s="1065"/>
      <c r="O49" s="7" t="s">
        <v>495</v>
      </c>
      <c r="P49" s="903">
        <v>400</v>
      </c>
      <c r="Q49" s="126"/>
      <c r="R49" s="126"/>
    </row>
    <row r="50" spans="1:18" ht="16.5" customHeight="1" thickBot="1" x14ac:dyDescent="0.25">
      <c r="A50" s="1077" t="s">
        <v>298</v>
      </c>
      <c r="B50" s="1078"/>
      <c r="C50" s="254" t="s">
        <v>74</v>
      </c>
      <c r="D50" s="1085"/>
      <c r="E50" s="1086"/>
      <c r="F50" s="1086"/>
      <c r="G50" s="1087"/>
      <c r="H50" s="778"/>
      <c r="I50" s="1115" t="s">
        <v>291</v>
      </c>
      <c r="J50" s="1116"/>
      <c r="K50" s="1117"/>
      <c r="L50" s="1058">
        <f>L73</f>
        <v>0</v>
      </c>
      <c r="M50" s="1059"/>
      <c r="O50" s="97" t="s">
        <v>306</v>
      </c>
      <c r="P50" s="903">
        <v>400</v>
      </c>
      <c r="Q50" s="126"/>
      <c r="R50" s="126"/>
    </row>
    <row r="51" spans="1:18" ht="16.5" customHeight="1" thickBot="1" x14ac:dyDescent="0.25">
      <c r="A51" s="1097" t="s">
        <v>299</v>
      </c>
      <c r="B51" s="1098"/>
      <c r="C51" s="736" t="s">
        <v>74</v>
      </c>
      <c r="D51" s="1099"/>
      <c r="E51" s="1100"/>
      <c r="F51" s="1100"/>
      <c r="G51" s="1101"/>
      <c r="H51" s="737"/>
      <c r="I51" s="1070"/>
      <c r="J51" s="1070"/>
      <c r="K51" s="1070"/>
      <c r="L51" s="1062">
        <f>D51*I51</f>
        <v>0</v>
      </c>
      <c r="M51" s="1063"/>
      <c r="O51" s="97" t="s">
        <v>307</v>
      </c>
      <c r="P51" s="903">
        <v>800</v>
      </c>
      <c r="Q51" s="126"/>
      <c r="R51" s="126"/>
    </row>
    <row r="52" spans="1:18" ht="16.5" customHeight="1" thickBot="1" x14ac:dyDescent="0.25">
      <c r="A52" s="1056" t="s">
        <v>35</v>
      </c>
      <c r="B52" s="1057"/>
      <c r="C52" s="1057"/>
      <c r="D52" s="1069"/>
      <c r="E52" s="1069"/>
      <c r="F52" s="1069"/>
      <c r="G52" s="1069"/>
      <c r="H52" s="1057"/>
      <c r="I52" s="1057"/>
      <c r="J52" s="1057"/>
      <c r="K52" s="1057"/>
      <c r="L52" s="1060">
        <f>SUM(L49:M51)</f>
        <v>0</v>
      </c>
      <c r="M52" s="1061"/>
      <c r="O52" s="7" t="s">
        <v>532</v>
      </c>
      <c r="P52" s="903">
        <v>400</v>
      </c>
      <c r="Q52" s="126">
        <v>300</v>
      </c>
      <c r="R52" s="126">
        <v>500</v>
      </c>
    </row>
    <row r="53" spans="1:18" x14ac:dyDescent="0.2">
      <c r="O53" s="7" t="s">
        <v>533</v>
      </c>
      <c r="P53" s="903">
        <v>800</v>
      </c>
      <c r="Q53" s="126">
        <v>600</v>
      </c>
      <c r="R53" s="126">
        <v>1000</v>
      </c>
    </row>
    <row r="54" spans="1:18" x14ac:dyDescent="0.2">
      <c r="A54" s="91" t="s">
        <v>284</v>
      </c>
      <c r="B54" s="92" t="s">
        <v>40</v>
      </c>
      <c r="O54" s="7" t="s">
        <v>534</v>
      </c>
      <c r="P54" s="903">
        <v>450</v>
      </c>
      <c r="Q54" s="126">
        <v>300</v>
      </c>
      <c r="R54" s="126">
        <v>600</v>
      </c>
    </row>
    <row r="55" spans="1:18" x14ac:dyDescent="0.2">
      <c r="A55" s="849" t="s">
        <v>505</v>
      </c>
      <c r="B55" s="94">
        <v>10</v>
      </c>
      <c r="O55" s="7" t="s">
        <v>535</v>
      </c>
      <c r="P55" s="903">
        <v>1150</v>
      </c>
      <c r="Q55" s="126">
        <v>700</v>
      </c>
      <c r="R55" s="126">
        <v>1600</v>
      </c>
    </row>
    <row r="56" spans="1:18" x14ac:dyDescent="0.2">
      <c r="A56" s="3"/>
    </row>
    <row r="57" spans="1:18" x14ac:dyDescent="0.2">
      <c r="A57" s="4"/>
    </row>
    <row r="58" spans="1:18" ht="15" x14ac:dyDescent="0.2">
      <c r="A58" s="1"/>
      <c r="B58" s="1"/>
    </row>
    <row r="59" spans="1:18" x14ac:dyDescent="0.2">
      <c r="A59" s="6"/>
      <c r="B59" s="6"/>
    </row>
    <row r="63" spans="1:18" ht="186" customHeight="1" x14ac:dyDescent="0.2">
      <c r="A63" s="25"/>
      <c r="B63" s="25"/>
    </row>
    <row r="64" spans="1:18" ht="5.25" customHeight="1" x14ac:dyDescent="0.2"/>
    <row r="65" spans="1:13" ht="18" customHeight="1" x14ac:dyDescent="0.2">
      <c r="A65" s="3" t="s">
        <v>287</v>
      </c>
      <c r="B65" t="s">
        <v>288</v>
      </c>
      <c r="E65" s="93">
        <v>1.2</v>
      </c>
    </row>
    <row r="66" spans="1:13" ht="15" customHeight="1" x14ac:dyDescent="0.2">
      <c r="B66" t="s">
        <v>296</v>
      </c>
      <c r="E66" s="93">
        <v>0.75</v>
      </c>
    </row>
    <row r="68" spans="1:13" ht="13.5" thickBot="1" x14ac:dyDescent="0.25"/>
    <row r="69" spans="1:13" ht="13.5" thickBot="1" x14ac:dyDescent="0.25">
      <c r="A69" s="100" t="s">
        <v>292</v>
      </c>
      <c r="B69" s="101"/>
      <c r="C69" t="s">
        <v>73</v>
      </c>
      <c r="D69" s="443"/>
      <c r="E69" t="s">
        <v>293</v>
      </c>
      <c r="F69" s="1104">
        <v>1.2</v>
      </c>
      <c r="G69" s="1104"/>
      <c r="H69" s="1090">
        <f>D69*F69</f>
        <v>0</v>
      </c>
      <c r="I69" s="1090"/>
      <c r="J69" s="1090"/>
      <c r="L69" s="1118">
        <f>H69</f>
        <v>0</v>
      </c>
      <c r="M69" s="1118"/>
    </row>
    <row r="70" spans="1:13" ht="7.5" customHeight="1" thickBot="1" x14ac:dyDescent="0.25">
      <c r="H70" s="448"/>
      <c r="I70" s="93"/>
      <c r="L70" s="447"/>
      <c r="M70" s="447"/>
    </row>
    <row r="71" spans="1:13" ht="13.5" thickBot="1" x14ac:dyDescent="0.25">
      <c r="C71" s="95" t="s">
        <v>294</v>
      </c>
      <c r="D71" s="442"/>
      <c r="E71" t="s">
        <v>295</v>
      </c>
      <c r="F71" s="1104">
        <v>0.75</v>
      </c>
      <c r="G71" s="1104"/>
      <c r="H71" s="1113">
        <f>D71*F71</f>
        <v>0</v>
      </c>
      <c r="I71" s="1113"/>
      <c r="J71" s="441" t="s">
        <v>297</v>
      </c>
      <c r="K71" s="449" t="s">
        <v>73</v>
      </c>
      <c r="L71" s="1114">
        <f>H71*D69</f>
        <v>0</v>
      </c>
      <c r="M71" s="1114"/>
    </row>
    <row r="72" spans="1:13" ht="13.5" thickBot="1" x14ac:dyDescent="0.25">
      <c r="H72" s="12"/>
      <c r="L72" s="446"/>
      <c r="M72" s="446"/>
    </row>
    <row r="73" spans="1:13" ht="13.5" thickBot="1" x14ac:dyDescent="0.25">
      <c r="H73" s="96"/>
      <c r="K73" s="8"/>
      <c r="L73" s="1111">
        <f>L69+L71</f>
        <v>0</v>
      </c>
      <c r="M73" s="1112"/>
    </row>
    <row r="74" spans="1:13" x14ac:dyDescent="0.2">
      <c r="A74" s="3" t="s">
        <v>300</v>
      </c>
      <c r="B74" t="s">
        <v>301</v>
      </c>
      <c r="H74" s="12"/>
    </row>
  </sheetData>
  <sheetProtection sheet="1"/>
  <customSheetViews>
    <customSheetView guid="{B919D2EB-D122-4E25-8E52-25BE88B69D9E}" scale="90" showPageBreaks="1" showGridLines="0" zeroValues="0" printArea="1" topLeftCell="A28">
      <selection activeCell="Q59" sqref="Q59"/>
      <rowBreaks count="1" manualBreakCount="1">
        <brk id="50" max="16383" man="1"/>
      </rowBreaks>
      <pageMargins left="0.35" right="0.24" top="0.15748031496062992" bottom="0" header="0.37" footer="0.15748031496062992"/>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97">
    <mergeCell ref="F27:G27"/>
    <mergeCell ref="G38:I38"/>
    <mergeCell ref="L73:M73"/>
    <mergeCell ref="H71:I71"/>
    <mergeCell ref="K40:L40"/>
    <mergeCell ref="L71:M71"/>
    <mergeCell ref="I48:K48"/>
    <mergeCell ref="I50:K50"/>
    <mergeCell ref="G42:I42"/>
    <mergeCell ref="L69:M69"/>
    <mergeCell ref="K43:L43"/>
    <mergeCell ref="F71:G71"/>
    <mergeCell ref="F28:G28"/>
    <mergeCell ref="K38:L38"/>
    <mergeCell ref="K39:L39"/>
    <mergeCell ref="F24:G24"/>
    <mergeCell ref="F25:G25"/>
    <mergeCell ref="F30:G30"/>
    <mergeCell ref="F69:G69"/>
    <mergeCell ref="G44:L44"/>
    <mergeCell ref="H69:J69"/>
    <mergeCell ref="K41:L41"/>
    <mergeCell ref="K42:L42"/>
    <mergeCell ref="G39:I39"/>
    <mergeCell ref="I49:K49"/>
    <mergeCell ref="A51:B51"/>
    <mergeCell ref="A50:B50"/>
    <mergeCell ref="D49:G49"/>
    <mergeCell ref="D51:G51"/>
    <mergeCell ref="A49:B49"/>
    <mergeCell ref="D50:G50"/>
    <mergeCell ref="D41:E41"/>
    <mergeCell ref="F15:G15"/>
    <mergeCell ref="F31:G31"/>
    <mergeCell ref="F32:G32"/>
    <mergeCell ref="G41:I41"/>
    <mergeCell ref="I16:J16"/>
    <mergeCell ref="F23:G23"/>
    <mergeCell ref="F17:G17"/>
    <mergeCell ref="F21:G21"/>
    <mergeCell ref="F22:G22"/>
    <mergeCell ref="H4:H5"/>
    <mergeCell ref="D40:E40"/>
    <mergeCell ref="F29:G29"/>
    <mergeCell ref="F26:G26"/>
    <mergeCell ref="D44:E44"/>
    <mergeCell ref="D39:E39"/>
    <mergeCell ref="G40:I40"/>
    <mergeCell ref="D43:E43"/>
    <mergeCell ref="G43:I43"/>
    <mergeCell ref="D42:E42"/>
    <mergeCell ref="A44:C44"/>
    <mergeCell ref="L50:M50"/>
    <mergeCell ref="L52:M52"/>
    <mergeCell ref="L51:M51"/>
    <mergeCell ref="L49:M49"/>
    <mergeCell ref="D48:G48"/>
    <mergeCell ref="L48:M48"/>
    <mergeCell ref="A52:K52"/>
    <mergeCell ref="I51:K51"/>
    <mergeCell ref="A48:C48"/>
    <mergeCell ref="F19:G19"/>
    <mergeCell ref="A4:B5"/>
    <mergeCell ref="A38:B38"/>
    <mergeCell ref="D38:E38"/>
    <mergeCell ref="D4:D5"/>
    <mergeCell ref="E4:E5"/>
    <mergeCell ref="C4:C5"/>
    <mergeCell ref="A34:E34"/>
    <mergeCell ref="F9:G9"/>
    <mergeCell ref="F18:G18"/>
    <mergeCell ref="F10:G10"/>
    <mergeCell ref="F11:G11"/>
    <mergeCell ref="F14:G14"/>
    <mergeCell ref="F12:G12"/>
    <mergeCell ref="F13:G13"/>
    <mergeCell ref="F16:G16"/>
    <mergeCell ref="K3:M3"/>
    <mergeCell ref="I9:J9"/>
    <mergeCell ref="I10:J10"/>
    <mergeCell ref="F8:G8"/>
    <mergeCell ref="F6:G6"/>
    <mergeCell ref="F7:G7"/>
    <mergeCell ref="F4:G5"/>
    <mergeCell ref="M4:M5"/>
    <mergeCell ref="K4:L5"/>
    <mergeCell ref="I4:J5"/>
    <mergeCell ref="F20:G20"/>
    <mergeCell ref="P6:R28"/>
    <mergeCell ref="I15:J15"/>
    <mergeCell ref="I11:J11"/>
    <mergeCell ref="I12:J12"/>
    <mergeCell ref="I13:J13"/>
    <mergeCell ref="I14:J14"/>
    <mergeCell ref="I6:J6"/>
    <mergeCell ref="I7:J7"/>
    <mergeCell ref="I8:J8"/>
  </mergeCells>
  <phoneticPr fontId="16" type="noConversion"/>
  <pageMargins left="0.35433070866141736" right="0.23622047244094491" top="0.15748031496062992" bottom="0" header="0.35433070866141736" footer="0.15748031496062992"/>
  <pageSetup paperSize="9" orientation="portrait" blackAndWhite="1" r:id="rId2"/>
  <headerFooter alignWithMargins="0">
    <oddFooter>&amp;C&amp;8(C) Lerch Treuhand AG, Itingen</oddFooter>
  </headerFooter>
  <rowBreaks count="1" manualBreakCount="1">
    <brk id="52" max="16383" man="1"/>
  </rowBreaks>
  <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0C41F-4558-43C7-A90D-62BED7BAC415}">
  <sheetPr codeName="Tabelle19">
    <tabColor indexed="10"/>
  </sheetPr>
  <dimension ref="A1:L47"/>
  <sheetViews>
    <sheetView showGridLines="0" showZeros="0" zoomScale="90" workbookViewId="0">
      <selection activeCell="Q6" sqref="Q6"/>
    </sheetView>
  </sheetViews>
  <sheetFormatPr baseColWidth="10" defaultRowHeight="14.25" x14ac:dyDescent="0.2"/>
  <cols>
    <col min="1" max="1" width="4.28515625" style="498" customWidth="1"/>
    <col min="2" max="2" width="21.28515625" style="492" customWidth="1"/>
    <col min="3" max="3" width="7.42578125" style="498" customWidth="1"/>
    <col min="4" max="4" width="1.5703125" style="492" customWidth="1"/>
    <col min="5" max="5" width="6.7109375" style="498" customWidth="1"/>
    <col min="6" max="6" width="6.140625" style="498" bestFit="1" customWidth="1"/>
    <col min="7" max="7" width="7.42578125" style="498" bestFit="1" customWidth="1"/>
    <col min="8" max="8" width="2" style="492" customWidth="1"/>
    <col min="9" max="9" width="11.7109375" style="492" customWidth="1"/>
    <col min="10" max="10" width="2.85546875" style="498" customWidth="1"/>
    <col min="11" max="11" width="2.42578125" style="498" customWidth="1"/>
    <col min="12" max="12" width="15.42578125" style="494" customWidth="1"/>
    <col min="13" max="13" width="24.42578125" style="492" customWidth="1"/>
    <col min="14" max="14" width="7.7109375" style="492" customWidth="1"/>
    <col min="15" max="15" width="2.7109375" style="492" customWidth="1"/>
    <col min="16" max="16" width="7.42578125" style="492" customWidth="1"/>
    <col min="17" max="17" width="9.140625" style="492" customWidth="1"/>
    <col min="18" max="18" width="11.140625" style="492" customWidth="1"/>
    <col min="19" max="19" width="5" style="492" customWidth="1"/>
    <col min="20" max="16384" width="11.42578125" style="492"/>
  </cols>
  <sheetData>
    <row r="1" spans="1:12" ht="23.25" customHeight="1" x14ac:dyDescent="0.35">
      <c r="A1" s="760">
        <f>DECKBLATT!B14</f>
        <v>0</v>
      </c>
      <c r="B1" s="738"/>
      <c r="C1" s="738"/>
      <c r="D1" s="738"/>
      <c r="E1" s="738"/>
      <c r="F1" s="738"/>
      <c r="G1" s="738"/>
      <c r="H1" s="738"/>
      <c r="I1" s="738"/>
      <c r="J1" s="738"/>
      <c r="K1" s="738"/>
    </row>
    <row r="2" spans="1:12" ht="12" customHeight="1" x14ac:dyDescent="0.2"/>
    <row r="3" spans="1:12" ht="41.25" customHeight="1" x14ac:dyDescent="0.2">
      <c r="A3" s="1132" t="s">
        <v>454</v>
      </c>
      <c r="B3" s="1132"/>
      <c r="C3" s="1132"/>
      <c r="D3" s="1132"/>
      <c r="E3" s="1132"/>
      <c r="F3" s="1132"/>
    </row>
    <row r="4" spans="1:12" s="495" customFormat="1" ht="30" customHeight="1" x14ac:dyDescent="0.4">
      <c r="A4" s="539" t="s">
        <v>415</v>
      </c>
      <c r="C4" s="499"/>
      <c r="E4" s="499"/>
      <c r="F4" s="499"/>
      <c r="G4" s="499"/>
      <c r="I4" s="1131">
        <f>DECKBLATT!B11</f>
        <v>46022</v>
      </c>
      <c r="J4" s="1131"/>
      <c r="K4" s="1131"/>
      <c r="L4" s="1131"/>
    </row>
    <row r="5" spans="1:12" s="495" customFormat="1" ht="4.5" customHeight="1" x14ac:dyDescent="0.3">
      <c r="A5" s="539"/>
      <c r="C5" s="499"/>
      <c r="E5" s="499"/>
      <c r="F5" s="499"/>
      <c r="G5" s="499"/>
      <c r="I5" s="604"/>
      <c r="J5" s="604"/>
      <c r="K5" s="604"/>
      <c r="L5" s="604"/>
    </row>
    <row r="6" spans="1:12" ht="14.25" customHeight="1" thickBot="1" x14ac:dyDescent="0.3">
      <c r="B6" s="22"/>
      <c r="C6" s="35"/>
      <c r="D6" s="1119" t="s">
        <v>422</v>
      </c>
      <c r="E6" s="1120"/>
      <c r="F6" s="1120"/>
      <c r="G6" s="1120"/>
      <c r="H6" s="1121"/>
      <c r="I6" s="22"/>
      <c r="J6" s="35"/>
      <c r="K6" s="35"/>
      <c r="L6" s="509" t="s">
        <v>403</v>
      </c>
    </row>
    <row r="7" spans="1:12" s="508" customFormat="1" ht="33.75" customHeight="1" thickBot="1" x14ac:dyDescent="0.25">
      <c r="A7" s="505" t="s">
        <v>276</v>
      </c>
      <c r="B7" s="506" t="s">
        <v>397</v>
      </c>
      <c r="C7" s="544" t="s">
        <v>401</v>
      </c>
      <c r="D7" s="707"/>
      <c r="E7" s="676" t="s">
        <v>421</v>
      </c>
      <c r="F7" s="676" t="s">
        <v>399</v>
      </c>
      <c r="G7" s="676" t="s">
        <v>400</v>
      </c>
      <c r="H7" s="708"/>
      <c r="I7" s="1133" t="s">
        <v>423</v>
      </c>
      <c r="J7" s="1134"/>
      <c r="K7" s="507"/>
      <c r="L7" s="553" t="s">
        <v>398</v>
      </c>
    </row>
    <row r="8" spans="1:12" ht="9.75" customHeight="1" thickBot="1" x14ac:dyDescent="0.3">
      <c r="A8" s="709"/>
      <c r="B8" s="493"/>
      <c r="C8" s="504"/>
      <c r="D8" s="493"/>
      <c r="E8" s="504"/>
      <c r="F8" s="504"/>
      <c r="G8" s="504"/>
      <c r="H8" s="493"/>
      <c r="I8" s="766"/>
      <c r="J8" s="767"/>
      <c r="K8" s="504"/>
      <c r="L8" s="710"/>
    </row>
    <row r="9" spans="1:12" s="232" customFormat="1" ht="24" customHeight="1" x14ac:dyDescent="0.2">
      <c r="A9" s="702">
        <v>1</v>
      </c>
      <c r="B9" s="765"/>
      <c r="C9" s="764"/>
      <c r="D9" s="547"/>
      <c r="E9" s="548"/>
      <c r="F9" s="548"/>
      <c r="G9" s="548"/>
      <c r="H9" s="547"/>
      <c r="I9" s="771"/>
      <c r="J9" s="771"/>
      <c r="K9" s="549"/>
      <c r="L9" s="768"/>
    </row>
    <row r="10" spans="1:12" s="232" customFormat="1" ht="24" customHeight="1" x14ac:dyDescent="0.2">
      <c r="A10" s="703">
        <v>2</v>
      </c>
      <c r="B10" s="545"/>
      <c r="C10" s="546"/>
      <c r="D10" s="542"/>
      <c r="E10" s="541"/>
      <c r="F10" s="541"/>
      <c r="G10" s="541"/>
      <c r="H10" s="542"/>
      <c r="I10" s="770"/>
      <c r="J10" s="771"/>
      <c r="K10" s="543"/>
      <c r="L10" s="769"/>
    </row>
    <row r="11" spans="1:12" s="232" customFormat="1" ht="24" customHeight="1" x14ac:dyDescent="0.2">
      <c r="A11" s="703">
        <v>3</v>
      </c>
      <c r="B11" s="545"/>
      <c r="C11" s="546"/>
      <c r="D11" s="542"/>
      <c r="E11" s="541"/>
      <c r="F11" s="541"/>
      <c r="G11" s="541"/>
      <c r="H11" s="542"/>
      <c r="I11" s="770"/>
      <c r="J11" s="771"/>
      <c r="K11" s="543"/>
      <c r="L11" s="550"/>
    </row>
    <row r="12" spans="1:12" s="232" customFormat="1" ht="24" customHeight="1" x14ac:dyDescent="0.2">
      <c r="A12" s="703">
        <v>4</v>
      </c>
      <c r="B12" s="545"/>
      <c r="C12" s="546"/>
      <c r="D12" s="542"/>
      <c r="E12" s="541"/>
      <c r="F12" s="541"/>
      <c r="G12" s="541"/>
      <c r="H12" s="542"/>
      <c r="I12" s="770"/>
      <c r="J12" s="771"/>
      <c r="K12" s="543"/>
      <c r="L12" s="550"/>
    </row>
    <row r="13" spans="1:12" s="232" customFormat="1" ht="24" customHeight="1" x14ac:dyDescent="0.2">
      <c r="A13" s="703">
        <v>5</v>
      </c>
      <c r="B13" s="545"/>
      <c r="C13" s="546"/>
      <c r="D13" s="542"/>
      <c r="E13" s="541"/>
      <c r="F13" s="541"/>
      <c r="G13" s="541"/>
      <c r="H13" s="542"/>
      <c r="I13" s="770"/>
      <c r="J13" s="770"/>
      <c r="K13" s="543"/>
      <c r="L13" s="550"/>
    </row>
    <row r="14" spans="1:12" s="232" customFormat="1" ht="24" customHeight="1" x14ac:dyDescent="0.2">
      <c r="A14" s="703">
        <v>6</v>
      </c>
      <c r="B14" s="545"/>
      <c r="C14" s="546"/>
      <c r="D14" s="542"/>
      <c r="E14" s="541"/>
      <c r="F14" s="541"/>
      <c r="G14" s="541"/>
      <c r="H14" s="542"/>
      <c r="I14" s="770"/>
      <c r="J14" s="770"/>
      <c r="K14" s="543"/>
      <c r="L14" s="550"/>
    </row>
    <row r="15" spans="1:12" s="232" customFormat="1" ht="24" customHeight="1" x14ac:dyDescent="0.2">
      <c r="A15" s="703">
        <v>7</v>
      </c>
      <c r="B15" s="545"/>
      <c r="C15" s="546"/>
      <c r="D15" s="542"/>
      <c r="E15" s="541"/>
      <c r="F15" s="541"/>
      <c r="G15" s="541"/>
      <c r="H15" s="542"/>
      <c r="I15" s="770"/>
      <c r="J15" s="770"/>
      <c r="K15" s="543"/>
      <c r="L15" s="550"/>
    </row>
    <row r="16" spans="1:12" s="232" customFormat="1" ht="24" customHeight="1" x14ac:dyDescent="0.2">
      <c r="A16" s="703">
        <v>8</v>
      </c>
      <c r="B16" s="545"/>
      <c r="C16" s="546"/>
      <c r="D16" s="542"/>
      <c r="E16" s="541"/>
      <c r="F16" s="541"/>
      <c r="G16" s="541"/>
      <c r="H16" s="542"/>
      <c r="I16" s="770"/>
      <c r="J16" s="770"/>
      <c r="K16" s="543"/>
      <c r="L16" s="550"/>
    </row>
    <row r="17" spans="1:12" s="232" customFormat="1" ht="24" customHeight="1" x14ac:dyDescent="0.2">
      <c r="A17" s="703">
        <v>9</v>
      </c>
      <c r="B17" s="545"/>
      <c r="C17" s="546"/>
      <c r="D17" s="542"/>
      <c r="E17" s="541"/>
      <c r="F17" s="541"/>
      <c r="G17" s="541"/>
      <c r="H17" s="542"/>
      <c r="I17" s="770"/>
      <c r="J17" s="770"/>
      <c r="K17" s="543"/>
      <c r="L17" s="550"/>
    </row>
    <row r="18" spans="1:12" s="232" customFormat="1" ht="24" customHeight="1" x14ac:dyDescent="0.2">
      <c r="A18" s="703">
        <v>10</v>
      </c>
      <c r="B18" s="545"/>
      <c r="C18" s="546"/>
      <c r="D18" s="542"/>
      <c r="E18" s="541"/>
      <c r="F18" s="541"/>
      <c r="G18" s="541"/>
      <c r="H18" s="542"/>
      <c r="I18" s="770"/>
      <c r="J18" s="770"/>
      <c r="K18" s="543"/>
      <c r="L18" s="550"/>
    </row>
    <row r="19" spans="1:12" s="232" customFormat="1" ht="24" customHeight="1" x14ac:dyDescent="0.2">
      <c r="A19" s="703">
        <v>11</v>
      </c>
      <c r="B19" s="545"/>
      <c r="C19" s="546"/>
      <c r="D19" s="542"/>
      <c r="E19" s="541"/>
      <c r="F19" s="541"/>
      <c r="G19" s="541"/>
      <c r="H19" s="542"/>
      <c r="I19" s="770"/>
      <c r="J19" s="770"/>
      <c r="K19" s="543"/>
      <c r="L19" s="550"/>
    </row>
    <row r="20" spans="1:12" s="232" customFormat="1" ht="24" customHeight="1" x14ac:dyDescent="0.2">
      <c r="A20" s="703">
        <v>12</v>
      </c>
      <c r="B20" s="545"/>
      <c r="C20" s="546"/>
      <c r="D20" s="542"/>
      <c r="E20" s="541"/>
      <c r="F20" s="541"/>
      <c r="G20" s="541"/>
      <c r="H20" s="542"/>
      <c r="I20" s="770"/>
      <c r="J20" s="770"/>
      <c r="K20" s="543"/>
      <c r="L20" s="550"/>
    </row>
    <row r="21" spans="1:12" s="232" customFormat="1" ht="24" customHeight="1" x14ac:dyDescent="0.2">
      <c r="A21" s="703">
        <v>13</v>
      </c>
      <c r="B21" s="545"/>
      <c r="C21" s="546"/>
      <c r="D21" s="542"/>
      <c r="E21" s="541"/>
      <c r="F21" s="541"/>
      <c r="G21" s="541"/>
      <c r="H21" s="542"/>
      <c r="I21" s="770"/>
      <c r="J21" s="770"/>
      <c r="K21" s="543"/>
      <c r="L21" s="550"/>
    </row>
    <row r="22" spans="1:12" s="232" customFormat="1" ht="24" customHeight="1" x14ac:dyDescent="0.2">
      <c r="A22" s="703">
        <v>14</v>
      </c>
      <c r="B22" s="545"/>
      <c r="C22" s="546"/>
      <c r="D22" s="542"/>
      <c r="E22" s="541"/>
      <c r="F22" s="541"/>
      <c r="G22" s="541"/>
      <c r="H22" s="542"/>
      <c r="I22" s="770"/>
      <c r="J22" s="770"/>
      <c r="K22" s="543"/>
      <c r="L22" s="550"/>
    </row>
    <row r="23" spans="1:12" s="232" customFormat="1" ht="24" customHeight="1" x14ac:dyDescent="0.2">
      <c r="A23" s="703">
        <v>15</v>
      </c>
      <c r="B23" s="545"/>
      <c r="C23" s="546"/>
      <c r="D23" s="542"/>
      <c r="E23" s="541"/>
      <c r="F23" s="541"/>
      <c r="G23" s="541"/>
      <c r="H23" s="542"/>
      <c r="I23" s="770"/>
      <c r="J23" s="770"/>
      <c r="K23" s="543"/>
      <c r="L23" s="550"/>
    </row>
    <row r="24" spans="1:12" s="232" customFormat="1" ht="24" customHeight="1" x14ac:dyDescent="0.2">
      <c r="A24" s="703">
        <v>16</v>
      </c>
      <c r="B24" s="545"/>
      <c r="C24" s="546"/>
      <c r="D24" s="542"/>
      <c r="E24" s="541"/>
      <c r="F24" s="541"/>
      <c r="G24" s="541"/>
      <c r="H24" s="542"/>
      <c r="I24" s="770"/>
      <c r="J24" s="770"/>
      <c r="K24" s="543"/>
      <c r="L24" s="550"/>
    </row>
    <row r="25" spans="1:12" s="232" customFormat="1" ht="24" customHeight="1" x14ac:dyDescent="0.2">
      <c r="A25" s="703">
        <v>17</v>
      </c>
      <c r="B25" s="545"/>
      <c r="C25" s="546"/>
      <c r="D25" s="542"/>
      <c r="E25" s="541"/>
      <c r="F25" s="541"/>
      <c r="G25" s="541"/>
      <c r="H25" s="542"/>
      <c r="I25" s="770"/>
      <c r="J25" s="770"/>
      <c r="K25" s="543"/>
      <c r="L25" s="550"/>
    </row>
    <row r="26" spans="1:12" s="232" customFormat="1" ht="24" customHeight="1" x14ac:dyDescent="0.2">
      <c r="A26" s="703">
        <v>18</v>
      </c>
      <c r="B26" s="545"/>
      <c r="C26" s="546"/>
      <c r="D26" s="542"/>
      <c r="E26" s="541"/>
      <c r="F26" s="541"/>
      <c r="G26" s="541"/>
      <c r="H26" s="542"/>
      <c r="I26" s="770"/>
      <c r="J26" s="770"/>
      <c r="K26" s="543"/>
      <c r="L26" s="550"/>
    </row>
    <row r="27" spans="1:12" s="232" customFormat="1" ht="24" customHeight="1" x14ac:dyDescent="0.2">
      <c r="A27" s="703">
        <v>19</v>
      </c>
      <c r="B27" s="545"/>
      <c r="C27" s="546"/>
      <c r="D27" s="542"/>
      <c r="E27" s="541"/>
      <c r="F27" s="541"/>
      <c r="G27" s="541"/>
      <c r="H27" s="542"/>
      <c r="I27" s="770"/>
      <c r="J27" s="770"/>
      <c r="K27" s="543"/>
      <c r="L27" s="550"/>
    </row>
    <row r="28" spans="1:12" s="232" customFormat="1" ht="24" customHeight="1" thickBot="1" x14ac:dyDescent="0.25">
      <c r="A28" s="703">
        <v>20</v>
      </c>
      <c r="B28" s="704"/>
      <c r="C28" s="705"/>
      <c r="D28" s="542"/>
      <c r="E28" s="541"/>
      <c r="F28" s="541"/>
      <c r="G28" s="541"/>
      <c r="H28" s="542"/>
      <c r="I28" s="770"/>
      <c r="J28" s="770"/>
      <c r="K28" s="543"/>
      <c r="L28" s="706"/>
    </row>
    <row r="29" spans="1:12" s="503" customFormat="1" ht="24" customHeight="1" thickBot="1" x14ac:dyDescent="0.25">
      <c r="A29" s="711"/>
      <c r="B29" s="712" t="s">
        <v>402</v>
      </c>
      <c r="C29" s="502"/>
      <c r="D29" s="501"/>
      <c r="E29" s="502"/>
      <c r="F29" s="502"/>
      <c r="G29" s="502"/>
      <c r="H29" s="501"/>
      <c r="I29" s="713">
        <f>SUM(I9:I28)</f>
        <v>0</v>
      </c>
      <c r="J29" s="714"/>
      <c r="K29" s="510"/>
      <c r="L29" s="511">
        <f>SUM(L9:L28)</f>
        <v>0</v>
      </c>
    </row>
    <row r="30" spans="1:12" s="496" customFormat="1" ht="7.5" customHeight="1" x14ac:dyDescent="0.25">
      <c r="A30" s="500"/>
      <c r="C30" s="500"/>
      <c r="E30" s="500"/>
      <c r="F30" s="500"/>
      <c r="G30" s="500"/>
      <c r="J30" s="500"/>
      <c r="K30" s="500"/>
      <c r="L30" s="497"/>
    </row>
    <row r="31" spans="1:12" s="558" customFormat="1" ht="18.75" thickBot="1" x14ac:dyDescent="0.25">
      <c r="A31" s="646" t="s">
        <v>450</v>
      </c>
      <c r="B31" s="715"/>
      <c r="C31" s="646"/>
      <c r="D31" s="646"/>
      <c r="E31" s="557"/>
      <c r="F31" s="557"/>
      <c r="G31" s="557"/>
      <c r="H31" s="557"/>
      <c r="J31" s="556"/>
      <c r="K31" s="556"/>
      <c r="L31" s="559"/>
    </row>
    <row r="32" spans="1:12" ht="14.25" customHeight="1" x14ac:dyDescent="0.2">
      <c r="A32" s="1122"/>
      <c r="B32" s="1123"/>
      <c r="C32" s="1123"/>
      <c r="D32" s="1123"/>
      <c r="E32" s="1123"/>
      <c r="F32" s="1123"/>
      <c r="G32" s="1123"/>
      <c r="H32" s="1123"/>
      <c r="I32" s="1123"/>
      <c r="J32" s="1123"/>
      <c r="K32" s="1123"/>
      <c r="L32" s="1124"/>
    </row>
    <row r="33" spans="1:12" ht="14.25" customHeight="1" x14ac:dyDescent="0.2">
      <c r="A33" s="1125"/>
      <c r="B33" s="1126"/>
      <c r="C33" s="1126"/>
      <c r="D33" s="1126"/>
      <c r="E33" s="1126"/>
      <c r="F33" s="1126"/>
      <c r="G33" s="1126"/>
      <c r="H33" s="1126"/>
      <c r="I33" s="1126"/>
      <c r="J33" s="1126"/>
      <c r="K33" s="1126"/>
      <c r="L33" s="1127"/>
    </row>
    <row r="34" spans="1:12" ht="14.25" customHeight="1" x14ac:dyDescent="0.2">
      <c r="A34" s="1125"/>
      <c r="B34" s="1126"/>
      <c r="C34" s="1126"/>
      <c r="D34" s="1126"/>
      <c r="E34" s="1126"/>
      <c r="F34" s="1126"/>
      <c r="G34" s="1126"/>
      <c r="H34" s="1126"/>
      <c r="I34" s="1126"/>
      <c r="J34" s="1126"/>
      <c r="K34" s="1126"/>
      <c r="L34" s="1127"/>
    </row>
    <row r="35" spans="1:12" ht="15" customHeight="1" thickBot="1" x14ac:dyDescent="0.25">
      <c r="A35" s="1128"/>
      <c r="B35" s="1129"/>
      <c r="C35" s="1129"/>
      <c r="D35" s="1129"/>
      <c r="E35" s="1129"/>
      <c r="F35" s="1129"/>
      <c r="G35" s="1129"/>
      <c r="H35" s="1129"/>
      <c r="I35" s="1129"/>
      <c r="J35" s="1129"/>
      <c r="K35" s="1129"/>
      <c r="L35" s="1130"/>
    </row>
    <row r="36" spans="1:12" ht="18" x14ac:dyDescent="0.25">
      <c r="A36" s="492"/>
      <c r="L36" s="497"/>
    </row>
    <row r="37" spans="1:12" ht="18" x14ac:dyDescent="0.25">
      <c r="L37" s="497"/>
    </row>
    <row r="38" spans="1:12" ht="18" x14ac:dyDescent="0.25">
      <c r="L38" s="497"/>
    </row>
    <row r="39" spans="1:12" ht="18" x14ac:dyDescent="0.25">
      <c r="L39" s="497"/>
    </row>
    <row r="40" spans="1:12" ht="18" x14ac:dyDescent="0.25">
      <c r="L40" s="497"/>
    </row>
    <row r="41" spans="1:12" ht="18" x14ac:dyDescent="0.25">
      <c r="L41" s="497"/>
    </row>
    <row r="42" spans="1:12" ht="18" x14ac:dyDescent="0.25">
      <c r="L42" s="497"/>
    </row>
    <row r="43" spans="1:12" ht="18" x14ac:dyDescent="0.25">
      <c r="L43" s="497"/>
    </row>
    <row r="44" spans="1:12" ht="18" x14ac:dyDescent="0.25">
      <c r="L44" s="497"/>
    </row>
    <row r="45" spans="1:12" ht="18" x14ac:dyDescent="0.25">
      <c r="L45" s="497"/>
    </row>
    <row r="46" spans="1:12" ht="18" x14ac:dyDescent="0.25">
      <c r="L46" s="497"/>
    </row>
    <row r="47" spans="1:12" ht="18" x14ac:dyDescent="0.25">
      <c r="L47" s="497"/>
    </row>
  </sheetData>
  <sheetProtection sheet="1"/>
  <protectedRanges>
    <protectedRange sqref="B9:B28" name="Bereich1"/>
    <protectedRange sqref="C9:C28" name="Bereich2"/>
    <protectedRange sqref="I9:I28" name="Bereich3"/>
    <protectedRange sqref="L9:L28" name="Bereich4"/>
  </protectedRanges>
  <customSheetViews>
    <customSheetView guid="{B919D2EB-D122-4E25-8E52-25BE88B69D9E}" scale="90" showPageBreaks="1" showGridLines="0" zeroValues="0" printArea="1">
      <selection activeCell="Q59" sqref="Q59"/>
      <pageMargins left="0.76" right="0.23622047244094491" top="0.39370078740157483" bottom="0.11811023622047245" header="0.39370078740157483" footer="0.26"/>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5">
    <mergeCell ref="D6:H6"/>
    <mergeCell ref="A32:L35"/>
    <mergeCell ref="I4:L4"/>
    <mergeCell ref="A3:F3"/>
    <mergeCell ref="I7:J7"/>
  </mergeCells>
  <phoneticPr fontId="16" type="noConversion"/>
  <pageMargins left="0.74803149606299213" right="0.23622047244094491" top="0.39370078740157483" bottom="0.11811023622047245" header="0.39370078740157483" footer="0.27559055118110237"/>
  <pageSetup paperSize="9" orientation="portrait" blackAndWhite="1" r:id="rId2"/>
  <headerFooter alignWithMargins="0">
    <oddFooter>&amp;C&amp;8(C) Lerch Treuhand AG, Itingen</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8452" r:id="rId5" name="Check Box 20">
              <controlPr defaultSize="0" autoFill="0" autoLine="0" autoPict="0">
                <anchor moveWithCells="1">
                  <from>
                    <xdr:col>5</xdr:col>
                    <xdr:colOff>57150</xdr:colOff>
                    <xdr:row>8</xdr:row>
                    <xdr:rowOff>66675</xdr:rowOff>
                  </from>
                  <to>
                    <xdr:col>5</xdr:col>
                    <xdr:colOff>361950</xdr:colOff>
                    <xdr:row>8</xdr:row>
                    <xdr:rowOff>295275</xdr:rowOff>
                  </to>
                </anchor>
              </controlPr>
            </control>
          </mc:Choice>
        </mc:AlternateContent>
        <mc:AlternateContent xmlns:mc="http://schemas.openxmlformats.org/markup-compatibility/2006">
          <mc:Choice Requires="x14">
            <control shapeId="18453" r:id="rId6" name="Check Box 21">
              <controlPr defaultSize="0" autoFill="0" autoLine="0" autoPict="0">
                <anchor moveWithCells="1">
                  <from>
                    <xdr:col>5</xdr:col>
                    <xdr:colOff>57150</xdr:colOff>
                    <xdr:row>9</xdr:row>
                    <xdr:rowOff>66675</xdr:rowOff>
                  </from>
                  <to>
                    <xdr:col>5</xdr:col>
                    <xdr:colOff>361950</xdr:colOff>
                    <xdr:row>9</xdr:row>
                    <xdr:rowOff>295275</xdr:rowOff>
                  </to>
                </anchor>
              </controlPr>
            </control>
          </mc:Choice>
        </mc:AlternateContent>
        <mc:AlternateContent xmlns:mc="http://schemas.openxmlformats.org/markup-compatibility/2006">
          <mc:Choice Requires="x14">
            <control shapeId="18454" r:id="rId7" name="Check Box 22">
              <controlPr defaultSize="0" autoFill="0" autoLine="0" autoPict="0">
                <anchor moveWithCells="1">
                  <from>
                    <xdr:col>5</xdr:col>
                    <xdr:colOff>57150</xdr:colOff>
                    <xdr:row>10</xdr:row>
                    <xdr:rowOff>66675</xdr:rowOff>
                  </from>
                  <to>
                    <xdr:col>5</xdr:col>
                    <xdr:colOff>361950</xdr:colOff>
                    <xdr:row>10</xdr:row>
                    <xdr:rowOff>295275</xdr:rowOff>
                  </to>
                </anchor>
              </controlPr>
            </control>
          </mc:Choice>
        </mc:AlternateContent>
        <mc:AlternateContent xmlns:mc="http://schemas.openxmlformats.org/markup-compatibility/2006">
          <mc:Choice Requires="x14">
            <control shapeId="18455" r:id="rId8" name="Check Box 23">
              <controlPr defaultSize="0" autoFill="0" autoLine="0" autoPict="0">
                <anchor moveWithCells="1">
                  <from>
                    <xdr:col>5</xdr:col>
                    <xdr:colOff>57150</xdr:colOff>
                    <xdr:row>11</xdr:row>
                    <xdr:rowOff>66675</xdr:rowOff>
                  </from>
                  <to>
                    <xdr:col>5</xdr:col>
                    <xdr:colOff>361950</xdr:colOff>
                    <xdr:row>11</xdr:row>
                    <xdr:rowOff>295275</xdr:rowOff>
                  </to>
                </anchor>
              </controlPr>
            </control>
          </mc:Choice>
        </mc:AlternateContent>
        <mc:AlternateContent xmlns:mc="http://schemas.openxmlformats.org/markup-compatibility/2006">
          <mc:Choice Requires="x14">
            <control shapeId="18456" r:id="rId9" name="Check Box 24">
              <controlPr defaultSize="0" autoFill="0" autoLine="0" autoPict="0">
                <anchor moveWithCells="1">
                  <from>
                    <xdr:col>5</xdr:col>
                    <xdr:colOff>57150</xdr:colOff>
                    <xdr:row>12</xdr:row>
                    <xdr:rowOff>66675</xdr:rowOff>
                  </from>
                  <to>
                    <xdr:col>5</xdr:col>
                    <xdr:colOff>361950</xdr:colOff>
                    <xdr:row>12</xdr:row>
                    <xdr:rowOff>295275</xdr:rowOff>
                  </to>
                </anchor>
              </controlPr>
            </control>
          </mc:Choice>
        </mc:AlternateContent>
        <mc:AlternateContent xmlns:mc="http://schemas.openxmlformats.org/markup-compatibility/2006">
          <mc:Choice Requires="x14">
            <control shapeId="18457" r:id="rId10" name="Check Box 25">
              <controlPr defaultSize="0" autoFill="0" autoLine="0" autoPict="0">
                <anchor moveWithCells="1">
                  <from>
                    <xdr:col>5</xdr:col>
                    <xdr:colOff>57150</xdr:colOff>
                    <xdr:row>13</xdr:row>
                    <xdr:rowOff>76200</xdr:rowOff>
                  </from>
                  <to>
                    <xdr:col>5</xdr:col>
                    <xdr:colOff>361950</xdr:colOff>
                    <xdr:row>14</xdr:row>
                    <xdr:rowOff>0</xdr:rowOff>
                  </to>
                </anchor>
              </controlPr>
            </control>
          </mc:Choice>
        </mc:AlternateContent>
        <mc:AlternateContent xmlns:mc="http://schemas.openxmlformats.org/markup-compatibility/2006">
          <mc:Choice Requires="x14">
            <control shapeId="18458" r:id="rId11" name="Check Box 26">
              <controlPr defaultSize="0" autoFill="0" autoLine="0" autoPict="0">
                <anchor moveWithCells="1">
                  <from>
                    <xdr:col>5</xdr:col>
                    <xdr:colOff>57150</xdr:colOff>
                    <xdr:row>14</xdr:row>
                    <xdr:rowOff>76200</xdr:rowOff>
                  </from>
                  <to>
                    <xdr:col>5</xdr:col>
                    <xdr:colOff>361950</xdr:colOff>
                    <xdr:row>15</xdr:row>
                    <xdr:rowOff>0</xdr:rowOff>
                  </to>
                </anchor>
              </controlPr>
            </control>
          </mc:Choice>
        </mc:AlternateContent>
        <mc:AlternateContent xmlns:mc="http://schemas.openxmlformats.org/markup-compatibility/2006">
          <mc:Choice Requires="x14">
            <control shapeId="18459" r:id="rId12" name="Check Box 27">
              <controlPr defaultSize="0" autoFill="0" autoLine="0" autoPict="0">
                <anchor moveWithCells="1">
                  <from>
                    <xdr:col>5</xdr:col>
                    <xdr:colOff>57150</xdr:colOff>
                    <xdr:row>15</xdr:row>
                    <xdr:rowOff>76200</xdr:rowOff>
                  </from>
                  <to>
                    <xdr:col>5</xdr:col>
                    <xdr:colOff>361950</xdr:colOff>
                    <xdr:row>16</xdr:row>
                    <xdr:rowOff>0</xdr:rowOff>
                  </to>
                </anchor>
              </controlPr>
            </control>
          </mc:Choice>
        </mc:AlternateContent>
        <mc:AlternateContent xmlns:mc="http://schemas.openxmlformats.org/markup-compatibility/2006">
          <mc:Choice Requires="x14">
            <control shapeId="18460" r:id="rId13" name="Check Box 28">
              <controlPr defaultSize="0" autoFill="0" autoLine="0" autoPict="0">
                <anchor moveWithCells="1">
                  <from>
                    <xdr:col>5</xdr:col>
                    <xdr:colOff>57150</xdr:colOff>
                    <xdr:row>16</xdr:row>
                    <xdr:rowOff>76200</xdr:rowOff>
                  </from>
                  <to>
                    <xdr:col>5</xdr:col>
                    <xdr:colOff>361950</xdr:colOff>
                    <xdr:row>17</xdr:row>
                    <xdr:rowOff>0</xdr:rowOff>
                  </to>
                </anchor>
              </controlPr>
            </control>
          </mc:Choice>
        </mc:AlternateContent>
        <mc:AlternateContent xmlns:mc="http://schemas.openxmlformats.org/markup-compatibility/2006">
          <mc:Choice Requires="x14">
            <control shapeId="18493" r:id="rId14" name="Check Box 61">
              <controlPr defaultSize="0" autoFill="0" autoLine="0" autoPict="0">
                <anchor moveWithCells="1">
                  <from>
                    <xdr:col>5</xdr:col>
                    <xdr:colOff>57150</xdr:colOff>
                    <xdr:row>17</xdr:row>
                    <xdr:rowOff>85725</xdr:rowOff>
                  </from>
                  <to>
                    <xdr:col>5</xdr:col>
                    <xdr:colOff>361950</xdr:colOff>
                    <xdr:row>18</xdr:row>
                    <xdr:rowOff>9525</xdr:rowOff>
                  </to>
                </anchor>
              </controlPr>
            </control>
          </mc:Choice>
        </mc:AlternateContent>
        <mc:AlternateContent xmlns:mc="http://schemas.openxmlformats.org/markup-compatibility/2006">
          <mc:Choice Requires="x14">
            <control shapeId="18494" r:id="rId15" name="Check Box 62">
              <controlPr defaultSize="0" autoFill="0" autoLine="0" autoPict="0">
                <anchor moveWithCells="1">
                  <from>
                    <xdr:col>5</xdr:col>
                    <xdr:colOff>57150</xdr:colOff>
                    <xdr:row>18</xdr:row>
                    <xdr:rowOff>85725</xdr:rowOff>
                  </from>
                  <to>
                    <xdr:col>5</xdr:col>
                    <xdr:colOff>361950</xdr:colOff>
                    <xdr:row>19</xdr:row>
                    <xdr:rowOff>9525</xdr:rowOff>
                  </to>
                </anchor>
              </controlPr>
            </control>
          </mc:Choice>
        </mc:AlternateContent>
        <mc:AlternateContent xmlns:mc="http://schemas.openxmlformats.org/markup-compatibility/2006">
          <mc:Choice Requires="x14">
            <control shapeId="18495" r:id="rId16" name="Check Box 63">
              <controlPr defaultSize="0" autoFill="0" autoLine="0" autoPict="0">
                <anchor moveWithCells="1">
                  <from>
                    <xdr:col>5</xdr:col>
                    <xdr:colOff>57150</xdr:colOff>
                    <xdr:row>19</xdr:row>
                    <xdr:rowOff>85725</xdr:rowOff>
                  </from>
                  <to>
                    <xdr:col>5</xdr:col>
                    <xdr:colOff>361950</xdr:colOff>
                    <xdr:row>20</xdr:row>
                    <xdr:rowOff>9525</xdr:rowOff>
                  </to>
                </anchor>
              </controlPr>
            </control>
          </mc:Choice>
        </mc:AlternateContent>
        <mc:AlternateContent xmlns:mc="http://schemas.openxmlformats.org/markup-compatibility/2006">
          <mc:Choice Requires="x14">
            <control shapeId="18496" r:id="rId17" name="Check Box 64">
              <controlPr defaultSize="0" autoFill="0" autoLine="0" autoPict="0">
                <anchor moveWithCells="1">
                  <from>
                    <xdr:col>5</xdr:col>
                    <xdr:colOff>57150</xdr:colOff>
                    <xdr:row>20</xdr:row>
                    <xdr:rowOff>85725</xdr:rowOff>
                  </from>
                  <to>
                    <xdr:col>5</xdr:col>
                    <xdr:colOff>361950</xdr:colOff>
                    <xdr:row>21</xdr:row>
                    <xdr:rowOff>9525</xdr:rowOff>
                  </to>
                </anchor>
              </controlPr>
            </control>
          </mc:Choice>
        </mc:AlternateContent>
        <mc:AlternateContent xmlns:mc="http://schemas.openxmlformats.org/markup-compatibility/2006">
          <mc:Choice Requires="x14">
            <control shapeId="18497" r:id="rId18" name="Check Box 65">
              <controlPr defaultSize="0" autoFill="0" autoLine="0" autoPict="0">
                <anchor moveWithCells="1">
                  <from>
                    <xdr:col>5</xdr:col>
                    <xdr:colOff>57150</xdr:colOff>
                    <xdr:row>21</xdr:row>
                    <xdr:rowOff>85725</xdr:rowOff>
                  </from>
                  <to>
                    <xdr:col>5</xdr:col>
                    <xdr:colOff>361950</xdr:colOff>
                    <xdr:row>22</xdr:row>
                    <xdr:rowOff>9525</xdr:rowOff>
                  </to>
                </anchor>
              </controlPr>
            </control>
          </mc:Choice>
        </mc:AlternateContent>
        <mc:AlternateContent xmlns:mc="http://schemas.openxmlformats.org/markup-compatibility/2006">
          <mc:Choice Requires="x14">
            <control shapeId="18498" r:id="rId19" name="Check Box 66">
              <controlPr defaultSize="0" autoFill="0" autoLine="0" autoPict="0">
                <anchor moveWithCells="1">
                  <from>
                    <xdr:col>5</xdr:col>
                    <xdr:colOff>57150</xdr:colOff>
                    <xdr:row>22</xdr:row>
                    <xdr:rowOff>95250</xdr:rowOff>
                  </from>
                  <to>
                    <xdr:col>5</xdr:col>
                    <xdr:colOff>361950</xdr:colOff>
                    <xdr:row>23</xdr:row>
                    <xdr:rowOff>19050</xdr:rowOff>
                  </to>
                </anchor>
              </controlPr>
            </control>
          </mc:Choice>
        </mc:AlternateContent>
        <mc:AlternateContent xmlns:mc="http://schemas.openxmlformats.org/markup-compatibility/2006">
          <mc:Choice Requires="x14">
            <control shapeId="18499" r:id="rId20" name="Check Box 67">
              <controlPr defaultSize="0" autoFill="0" autoLine="0" autoPict="0">
                <anchor moveWithCells="1">
                  <from>
                    <xdr:col>5</xdr:col>
                    <xdr:colOff>57150</xdr:colOff>
                    <xdr:row>23</xdr:row>
                    <xdr:rowOff>95250</xdr:rowOff>
                  </from>
                  <to>
                    <xdr:col>5</xdr:col>
                    <xdr:colOff>361950</xdr:colOff>
                    <xdr:row>24</xdr:row>
                    <xdr:rowOff>19050</xdr:rowOff>
                  </to>
                </anchor>
              </controlPr>
            </control>
          </mc:Choice>
        </mc:AlternateContent>
        <mc:AlternateContent xmlns:mc="http://schemas.openxmlformats.org/markup-compatibility/2006">
          <mc:Choice Requires="x14">
            <control shapeId="18500" r:id="rId21" name="Check Box 68">
              <controlPr defaultSize="0" autoFill="0" autoLine="0" autoPict="0">
                <anchor moveWithCells="1">
                  <from>
                    <xdr:col>5</xdr:col>
                    <xdr:colOff>57150</xdr:colOff>
                    <xdr:row>24</xdr:row>
                    <xdr:rowOff>95250</xdr:rowOff>
                  </from>
                  <to>
                    <xdr:col>5</xdr:col>
                    <xdr:colOff>361950</xdr:colOff>
                    <xdr:row>25</xdr:row>
                    <xdr:rowOff>19050</xdr:rowOff>
                  </to>
                </anchor>
              </controlPr>
            </control>
          </mc:Choice>
        </mc:AlternateContent>
        <mc:AlternateContent xmlns:mc="http://schemas.openxmlformats.org/markup-compatibility/2006">
          <mc:Choice Requires="x14">
            <control shapeId="18501" r:id="rId22" name="Check Box 69">
              <controlPr defaultSize="0" autoFill="0" autoLine="0" autoPict="0">
                <anchor moveWithCells="1">
                  <from>
                    <xdr:col>5</xdr:col>
                    <xdr:colOff>57150</xdr:colOff>
                    <xdr:row>25</xdr:row>
                    <xdr:rowOff>95250</xdr:rowOff>
                  </from>
                  <to>
                    <xdr:col>5</xdr:col>
                    <xdr:colOff>361950</xdr:colOff>
                    <xdr:row>26</xdr:row>
                    <xdr:rowOff>19050</xdr:rowOff>
                  </to>
                </anchor>
              </controlPr>
            </control>
          </mc:Choice>
        </mc:AlternateContent>
        <mc:AlternateContent xmlns:mc="http://schemas.openxmlformats.org/markup-compatibility/2006">
          <mc:Choice Requires="x14">
            <control shapeId="18502" r:id="rId23" name="Check Box 70">
              <controlPr defaultSize="0" autoFill="0" autoLine="0" autoPict="0">
                <anchor moveWithCells="1">
                  <from>
                    <xdr:col>5</xdr:col>
                    <xdr:colOff>57150</xdr:colOff>
                    <xdr:row>26</xdr:row>
                    <xdr:rowOff>104775</xdr:rowOff>
                  </from>
                  <to>
                    <xdr:col>5</xdr:col>
                    <xdr:colOff>361950</xdr:colOff>
                    <xdr:row>27</xdr:row>
                    <xdr:rowOff>28575</xdr:rowOff>
                  </to>
                </anchor>
              </controlPr>
            </control>
          </mc:Choice>
        </mc:AlternateContent>
        <mc:AlternateContent xmlns:mc="http://schemas.openxmlformats.org/markup-compatibility/2006">
          <mc:Choice Requires="x14">
            <control shapeId="18503" r:id="rId24" name="Check Box 71">
              <controlPr defaultSize="0" autoFill="0" autoLine="0" autoPict="0">
                <anchor moveWithCells="1">
                  <from>
                    <xdr:col>5</xdr:col>
                    <xdr:colOff>57150</xdr:colOff>
                    <xdr:row>27</xdr:row>
                    <xdr:rowOff>104775</xdr:rowOff>
                  </from>
                  <to>
                    <xdr:col>5</xdr:col>
                    <xdr:colOff>361950</xdr:colOff>
                    <xdr:row>28</xdr:row>
                    <xdr:rowOff>28575</xdr:rowOff>
                  </to>
                </anchor>
              </controlPr>
            </control>
          </mc:Choice>
        </mc:AlternateContent>
        <mc:AlternateContent xmlns:mc="http://schemas.openxmlformats.org/markup-compatibility/2006">
          <mc:Choice Requires="x14">
            <control shapeId="18509" r:id="rId25" name="Check Box 77">
              <controlPr defaultSize="0" autoFill="0" autoLine="0" autoPict="0">
                <anchor moveWithCells="1">
                  <from>
                    <xdr:col>6</xdr:col>
                    <xdr:colOff>57150</xdr:colOff>
                    <xdr:row>8</xdr:row>
                    <xdr:rowOff>66675</xdr:rowOff>
                  </from>
                  <to>
                    <xdr:col>6</xdr:col>
                    <xdr:colOff>361950</xdr:colOff>
                    <xdr:row>8</xdr:row>
                    <xdr:rowOff>295275</xdr:rowOff>
                  </to>
                </anchor>
              </controlPr>
            </control>
          </mc:Choice>
        </mc:AlternateContent>
        <mc:AlternateContent xmlns:mc="http://schemas.openxmlformats.org/markup-compatibility/2006">
          <mc:Choice Requires="x14">
            <control shapeId="18510" r:id="rId26" name="Check Box 78">
              <controlPr defaultSize="0" autoFill="0" autoLine="0" autoPict="0">
                <anchor moveWithCells="1">
                  <from>
                    <xdr:col>6</xdr:col>
                    <xdr:colOff>57150</xdr:colOff>
                    <xdr:row>9</xdr:row>
                    <xdr:rowOff>66675</xdr:rowOff>
                  </from>
                  <to>
                    <xdr:col>6</xdr:col>
                    <xdr:colOff>361950</xdr:colOff>
                    <xdr:row>9</xdr:row>
                    <xdr:rowOff>295275</xdr:rowOff>
                  </to>
                </anchor>
              </controlPr>
            </control>
          </mc:Choice>
        </mc:AlternateContent>
        <mc:AlternateContent xmlns:mc="http://schemas.openxmlformats.org/markup-compatibility/2006">
          <mc:Choice Requires="x14">
            <control shapeId="18511" r:id="rId27" name="Check Box 79">
              <controlPr defaultSize="0" autoFill="0" autoLine="0" autoPict="0">
                <anchor moveWithCells="1">
                  <from>
                    <xdr:col>6</xdr:col>
                    <xdr:colOff>57150</xdr:colOff>
                    <xdr:row>10</xdr:row>
                    <xdr:rowOff>66675</xdr:rowOff>
                  </from>
                  <to>
                    <xdr:col>6</xdr:col>
                    <xdr:colOff>361950</xdr:colOff>
                    <xdr:row>10</xdr:row>
                    <xdr:rowOff>295275</xdr:rowOff>
                  </to>
                </anchor>
              </controlPr>
            </control>
          </mc:Choice>
        </mc:AlternateContent>
        <mc:AlternateContent xmlns:mc="http://schemas.openxmlformats.org/markup-compatibility/2006">
          <mc:Choice Requires="x14">
            <control shapeId="18512" r:id="rId28" name="Check Box 80">
              <controlPr defaultSize="0" autoFill="0" autoLine="0" autoPict="0">
                <anchor moveWithCells="1">
                  <from>
                    <xdr:col>6</xdr:col>
                    <xdr:colOff>57150</xdr:colOff>
                    <xdr:row>11</xdr:row>
                    <xdr:rowOff>66675</xdr:rowOff>
                  </from>
                  <to>
                    <xdr:col>6</xdr:col>
                    <xdr:colOff>361950</xdr:colOff>
                    <xdr:row>11</xdr:row>
                    <xdr:rowOff>295275</xdr:rowOff>
                  </to>
                </anchor>
              </controlPr>
            </control>
          </mc:Choice>
        </mc:AlternateContent>
        <mc:AlternateContent xmlns:mc="http://schemas.openxmlformats.org/markup-compatibility/2006">
          <mc:Choice Requires="x14">
            <control shapeId="18513" r:id="rId29" name="Check Box 81">
              <controlPr defaultSize="0" autoFill="0" autoLine="0" autoPict="0">
                <anchor moveWithCells="1">
                  <from>
                    <xdr:col>6</xdr:col>
                    <xdr:colOff>57150</xdr:colOff>
                    <xdr:row>12</xdr:row>
                    <xdr:rowOff>66675</xdr:rowOff>
                  </from>
                  <to>
                    <xdr:col>6</xdr:col>
                    <xdr:colOff>361950</xdr:colOff>
                    <xdr:row>12</xdr:row>
                    <xdr:rowOff>295275</xdr:rowOff>
                  </to>
                </anchor>
              </controlPr>
            </control>
          </mc:Choice>
        </mc:AlternateContent>
        <mc:AlternateContent xmlns:mc="http://schemas.openxmlformats.org/markup-compatibility/2006">
          <mc:Choice Requires="x14">
            <control shapeId="18514" r:id="rId30" name="Check Box 82">
              <controlPr defaultSize="0" autoFill="0" autoLine="0" autoPict="0">
                <anchor moveWithCells="1">
                  <from>
                    <xdr:col>6</xdr:col>
                    <xdr:colOff>57150</xdr:colOff>
                    <xdr:row>13</xdr:row>
                    <xdr:rowOff>76200</xdr:rowOff>
                  </from>
                  <to>
                    <xdr:col>6</xdr:col>
                    <xdr:colOff>361950</xdr:colOff>
                    <xdr:row>14</xdr:row>
                    <xdr:rowOff>0</xdr:rowOff>
                  </to>
                </anchor>
              </controlPr>
            </control>
          </mc:Choice>
        </mc:AlternateContent>
        <mc:AlternateContent xmlns:mc="http://schemas.openxmlformats.org/markup-compatibility/2006">
          <mc:Choice Requires="x14">
            <control shapeId="18515" r:id="rId31" name="Check Box 83">
              <controlPr defaultSize="0" autoFill="0" autoLine="0" autoPict="0">
                <anchor moveWithCells="1">
                  <from>
                    <xdr:col>6</xdr:col>
                    <xdr:colOff>57150</xdr:colOff>
                    <xdr:row>14</xdr:row>
                    <xdr:rowOff>76200</xdr:rowOff>
                  </from>
                  <to>
                    <xdr:col>6</xdr:col>
                    <xdr:colOff>361950</xdr:colOff>
                    <xdr:row>15</xdr:row>
                    <xdr:rowOff>0</xdr:rowOff>
                  </to>
                </anchor>
              </controlPr>
            </control>
          </mc:Choice>
        </mc:AlternateContent>
        <mc:AlternateContent xmlns:mc="http://schemas.openxmlformats.org/markup-compatibility/2006">
          <mc:Choice Requires="x14">
            <control shapeId="18516" r:id="rId32" name="Check Box 84">
              <controlPr defaultSize="0" autoFill="0" autoLine="0" autoPict="0">
                <anchor moveWithCells="1">
                  <from>
                    <xdr:col>6</xdr:col>
                    <xdr:colOff>57150</xdr:colOff>
                    <xdr:row>15</xdr:row>
                    <xdr:rowOff>76200</xdr:rowOff>
                  </from>
                  <to>
                    <xdr:col>6</xdr:col>
                    <xdr:colOff>361950</xdr:colOff>
                    <xdr:row>16</xdr:row>
                    <xdr:rowOff>0</xdr:rowOff>
                  </to>
                </anchor>
              </controlPr>
            </control>
          </mc:Choice>
        </mc:AlternateContent>
        <mc:AlternateContent xmlns:mc="http://schemas.openxmlformats.org/markup-compatibility/2006">
          <mc:Choice Requires="x14">
            <control shapeId="18517" r:id="rId33" name="Check Box 85">
              <controlPr defaultSize="0" autoFill="0" autoLine="0" autoPict="0">
                <anchor moveWithCells="1">
                  <from>
                    <xdr:col>6</xdr:col>
                    <xdr:colOff>57150</xdr:colOff>
                    <xdr:row>16</xdr:row>
                    <xdr:rowOff>76200</xdr:rowOff>
                  </from>
                  <to>
                    <xdr:col>6</xdr:col>
                    <xdr:colOff>361950</xdr:colOff>
                    <xdr:row>17</xdr:row>
                    <xdr:rowOff>0</xdr:rowOff>
                  </to>
                </anchor>
              </controlPr>
            </control>
          </mc:Choice>
        </mc:AlternateContent>
        <mc:AlternateContent xmlns:mc="http://schemas.openxmlformats.org/markup-compatibility/2006">
          <mc:Choice Requires="x14">
            <control shapeId="18518" r:id="rId34" name="Check Box 86">
              <controlPr defaultSize="0" autoFill="0" autoLine="0" autoPict="0">
                <anchor moveWithCells="1">
                  <from>
                    <xdr:col>6</xdr:col>
                    <xdr:colOff>57150</xdr:colOff>
                    <xdr:row>17</xdr:row>
                    <xdr:rowOff>85725</xdr:rowOff>
                  </from>
                  <to>
                    <xdr:col>6</xdr:col>
                    <xdr:colOff>361950</xdr:colOff>
                    <xdr:row>18</xdr:row>
                    <xdr:rowOff>9525</xdr:rowOff>
                  </to>
                </anchor>
              </controlPr>
            </control>
          </mc:Choice>
        </mc:AlternateContent>
        <mc:AlternateContent xmlns:mc="http://schemas.openxmlformats.org/markup-compatibility/2006">
          <mc:Choice Requires="x14">
            <control shapeId="18519" r:id="rId35" name="Check Box 87">
              <controlPr defaultSize="0" autoFill="0" autoLine="0" autoPict="0">
                <anchor moveWithCells="1">
                  <from>
                    <xdr:col>6</xdr:col>
                    <xdr:colOff>57150</xdr:colOff>
                    <xdr:row>18</xdr:row>
                    <xdr:rowOff>85725</xdr:rowOff>
                  </from>
                  <to>
                    <xdr:col>6</xdr:col>
                    <xdr:colOff>361950</xdr:colOff>
                    <xdr:row>19</xdr:row>
                    <xdr:rowOff>9525</xdr:rowOff>
                  </to>
                </anchor>
              </controlPr>
            </control>
          </mc:Choice>
        </mc:AlternateContent>
        <mc:AlternateContent xmlns:mc="http://schemas.openxmlformats.org/markup-compatibility/2006">
          <mc:Choice Requires="x14">
            <control shapeId="18520" r:id="rId36" name="Check Box 88">
              <controlPr defaultSize="0" autoFill="0" autoLine="0" autoPict="0">
                <anchor moveWithCells="1">
                  <from>
                    <xdr:col>6</xdr:col>
                    <xdr:colOff>57150</xdr:colOff>
                    <xdr:row>20</xdr:row>
                    <xdr:rowOff>85725</xdr:rowOff>
                  </from>
                  <to>
                    <xdr:col>6</xdr:col>
                    <xdr:colOff>361950</xdr:colOff>
                    <xdr:row>21</xdr:row>
                    <xdr:rowOff>9525</xdr:rowOff>
                  </to>
                </anchor>
              </controlPr>
            </control>
          </mc:Choice>
        </mc:AlternateContent>
        <mc:AlternateContent xmlns:mc="http://schemas.openxmlformats.org/markup-compatibility/2006">
          <mc:Choice Requires="x14">
            <control shapeId="18521" r:id="rId37" name="Check Box 89">
              <controlPr defaultSize="0" autoFill="0" autoLine="0" autoPict="0">
                <anchor moveWithCells="1">
                  <from>
                    <xdr:col>6</xdr:col>
                    <xdr:colOff>57150</xdr:colOff>
                    <xdr:row>19</xdr:row>
                    <xdr:rowOff>85725</xdr:rowOff>
                  </from>
                  <to>
                    <xdr:col>6</xdr:col>
                    <xdr:colOff>361950</xdr:colOff>
                    <xdr:row>20</xdr:row>
                    <xdr:rowOff>9525</xdr:rowOff>
                  </to>
                </anchor>
              </controlPr>
            </control>
          </mc:Choice>
        </mc:AlternateContent>
        <mc:AlternateContent xmlns:mc="http://schemas.openxmlformats.org/markup-compatibility/2006">
          <mc:Choice Requires="x14">
            <control shapeId="18522" r:id="rId38" name="Check Box 90">
              <controlPr defaultSize="0" autoFill="0" autoLine="0" autoPict="0">
                <anchor moveWithCells="1">
                  <from>
                    <xdr:col>6</xdr:col>
                    <xdr:colOff>57150</xdr:colOff>
                    <xdr:row>21</xdr:row>
                    <xdr:rowOff>85725</xdr:rowOff>
                  </from>
                  <to>
                    <xdr:col>6</xdr:col>
                    <xdr:colOff>361950</xdr:colOff>
                    <xdr:row>22</xdr:row>
                    <xdr:rowOff>9525</xdr:rowOff>
                  </to>
                </anchor>
              </controlPr>
            </control>
          </mc:Choice>
        </mc:AlternateContent>
        <mc:AlternateContent xmlns:mc="http://schemas.openxmlformats.org/markup-compatibility/2006">
          <mc:Choice Requires="x14">
            <control shapeId="18523" r:id="rId39" name="Check Box 91">
              <controlPr defaultSize="0" autoFill="0" autoLine="0" autoPict="0">
                <anchor moveWithCells="1">
                  <from>
                    <xdr:col>6</xdr:col>
                    <xdr:colOff>57150</xdr:colOff>
                    <xdr:row>22</xdr:row>
                    <xdr:rowOff>95250</xdr:rowOff>
                  </from>
                  <to>
                    <xdr:col>6</xdr:col>
                    <xdr:colOff>361950</xdr:colOff>
                    <xdr:row>23</xdr:row>
                    <xdr:rowOff>19050</xdr:rowOff>
                  </to>
                </anchor>
              </controlPr>
            </control>
          </mc:Choice>
        </mc:AlternateContent>
        <mc:AlternateContent xmlns:mc="http://schemas.openxmlformats.org/markup-compatibility/2006">
          <mc:Choice Requires="x14">
            <control shapeId="18524" r:id="rId40" name="Check Box 92">
              <controlPr defaultSize="0" autoFill="0" autoLine="0" autoPict="0">
                <anchor moveWithCells="1">
                  <from>
                    <xdr:col>6</xdr:col>
                    <xdr:colOff>57150</xdr:colOff>
                    <xdr:row>23</xdr:row>
                    <xdr:rowOff>95250</xdr:rowOff>
                  </from>
                  <to>
                    <xdr:col>6</xdr:col>
                    <xdr:colOff>361950</xdr:colOff>
                    <xdr:row>24</xdr:row>
                    <xdr:rowOff>19050</xdr:rowOff>
                  </to>
                </anchor>
              </controlPr>
            </control>
          </mc:Choice>
        </mc:AlternateContent>
        <mc:AlternateContent xmlns:mc="http://schemas.openxmlformats.org/markup-compatibility/2006">
          <mc:Choice Requires="x14">
            <control shapeId="18525" r:id="rId41" name="Check Box 93">
              <controlPr defaultSize="0" autoFill="0" autoLine="0" autoPict="0">
                <anchor moveWithCells="1">
                  <from>
                    <xdr:col>6</xdr:col>
                    <xdr:colOff>57150</xdr:colOff>
                    <xdr:row>24</xdr:row>
                    <xdr:rowOff>95250</xdr:rowOff>
                  </from>
                  <to>
                    <xdr:col>6</xdr:col>
                    <xdr:colOff>361950</xdr:colOff>
                    <xdr:row>25</xdr:row>
                    <xdr:rowOff>19050</xdr:rowOff>
                  </to>
                </anchor>
              </controlPr>
            </control>
          </mc:Choice>
        </mc:AlternateContent>
        <mc:AlternateContent xmlns:mc="http://schemas.openxmlformats.org/markup-compatibility/2006">
          <mc:Choice Requires="x14">
            <control shapeId="18526" r:id="rId42" name="Check Box 94">
              <controlPr defaultSize="0" autoFill="0" autoLine="0" autoPict="0">
                <anchor moveWithCells="1">
                  <from>
                    <xdr:col>6</xdr:col>
                    <xdr:colOff>57150</xdr:colOff>
                    <xdr:row>25</xdr:row>
                    <xdr:rowOff>95250</xdr:rowOff>
                  </from>
                  <to>
                    <xdr:col>6</xdr:col>
                    <xdr:colOff>361950</xdr:colOff>
                    <xdr:row>26</xdr:row>
                    <xdr:rowOff>19050</xdr:rowOff>
                  </to>
                </anchor>
              </controlPr>
            </control>
          </mc:Choice>
        </mc:AlternateContent>
        <mc:AlternateContent xmlns:mc="http://schemas.openxmlformats.org/markup-compatibility/2006">
          <mc:Choice Requires="x14">
            <control shapeId="18527" r:id="rId43" name="Check Box 95">
              <controlPr defaultSize="0" autoFill="0" autoLine="0" autoPict="0">
                <anchor moveWithCells="1">
                  <from>
                    <xdr:col>6</xdr:col>
                    <xdr:colOff>57150</xdr:colOff>
                    <xdr:row>26</xdr:row>
                    <xdr:rowOff>104775</xdr:rowOff>
                  </from>
                  <to>
                    <xdr:col>6</xdr:col>
                    <xdr:colOff>361950</xdr:colOff>
                    <xdr:row>27</xdr:row>
                    <xdr:rowOff>28575</xdr:rowOff>
                  </to>
                </anchor>
              </controlPr>
            </control>
          </mc:Choice>
        </mc:AlternateContent>
        <mc:AlternateContent xmlns:mc="http://schemas.openxmlformats.org/markup-compatibility/2006">
          <mc:Choice Requires="x14">
            <control shapeId="18528" r:id="rId44" name="Check Box 96">
              <controlPr defaultSize="0" autoFill="0" autoLine="0" autoPict="0">
                <anchor moveWithCells="1">
                  <from>
                    <xdr:col>6</xdr:col>
                    <xdr:colOff>57150</xdr:colOff>
                    <xdr:row>27</xdr:row>
                    <xdr:rowOff>104775</xdr:rowOff>
                  </from>
                  <to>
                    <xdr:col>6</xdr:col>
                    <xdr:colOff>361950</xdr:colOff>
                    <xdr:row>28</xdr:row>
                    <xdr:rowOff>28575</xdr:rowOff>
                  </to>
                </anchor>
              </controlPr>
            </control>
          </mc:Choice>
        </mc:AlternateContent>
        <mc:AlternateContent xmlns:mc="http://schemas.openxmlformats.org/markup-compatibility/2006">
          <mc:Choice Requires="x14">
            <control shapeId="18535" r:id="rId45" name="Check Box 103">
              <controlPr defaultSize="0" autoFill="0" autoLine="0" autoPict="0">
                <anchor moveWithCells="1">
                  <from>
                    <xdr:col>4</xdr:col>
                    <xdr:colOff>47625</xdr:colOff>
                    <xdr:row>8</xdr:row>
                    <xdr:rowOff>66675</xdr:rowOff>
                  </from>
                  <to>
                    <xdr:col>4</xdr:col>
                    <xdr:colOff>352425</xdr:colOff>
                    <xdr:row>8</xdr:row>
                    <xdr:rowOff>295275</xdr:rowOff>
                  </to>
                </anchor>
              </controlPr>
            </control>
          </mc:Choice>
        </mc:AlternateContent>
        <mc:AlternateContent xmlns:mc="http://schemas.openxmlformats.org/markup-compatibility/2006">
          <mc:Choice Requires="x14">
            <control shapeId="18536" r:id="rId46" name="Check Box 104">
              <controlPr defaultSize="0" autoFill="0" autoLine="0" autoPict="0">
                <anchor moveWithCells="1">
                  <from>
                    <xdr:col>4</xdr:col>
                    <xdr:colOff>47625</xdr:colOff>
                    <xdr:row>9</xdr:row>
                    <xdr:rowOff>66675</xdr:rowOff>
                  </from>
                  <to>
                    <xdr:col>4</xdr:col>
                    <xdr:colOff>352425</xdr:colOff>
                    <xdr:row>9</xdr:row>
                    <xdr:rowOff>295275</xdr:rowOff>
                  </to>
                </anchor>
              </controlPr>
            </control>
          </mc:Choice>
        </mc:AlternateContent>
        <mc:AlternateContent xmlns:mc="http://schemas.openxmlformats.org/markup-compatibility/2006">
          <mc:Choice Requires="x14">
            <control shapeId="18537" r:id="rId47" name="Check Box 105">
              <controlPr defaultSize="0" autoFill="0" autoLine="0" autoPict="0">
                <anchor moveWithCells="1">
                  <from>
                    <xdr:col>4</xdr:col>
                    <xdr:colOff>47625</xdr:colOff>
                    <xdr:row>10</xdr:row>
                    <xdr:rowOff>66675</xdr:rowOff>
                  </from>
                  <to>
                    <xdr:col>4</xdr:col>
                    <xdr:colOff>352425</xdr:colOff>
                    <xdr:row>10</xdr:row>
                    <xdr:rowOff>295275</xdr:rowOff>
                  </to>
                </anchor>
              </controlPr>
            </control>
          </mc:Choice>
        </mc:AlternateContent>
        <mc:AlternateContent xmlns:mc="http://schemas.openxmlformats.org/markup-compatibility/2006">
          <mc:Choice Requires="x14">
            <control shapeId="18538" r:id="rId48" name="Check Box 106">
              <controlPr defaultSize="0" autoFill="0" autoLine="0" autoPict="0">
                <anchor moveWithCells="1">
                  <from>
                    <xdr:col>4</xdr:col>
                    <xdr:colOff>47625</xdr:colOff>
                    <xdr:row>11</xdr:row>
                    <xdr:rowOff>66675</xdr:rowOff>
                  </from>
                  <to>
                    <xdr:col>4</xdr:col>
                    <xdr:colOff>352425</xdr:colOff>
                    <xdr:row>11</xdr:row>
                    <xdr:rowOff>295275</xdr:rowOff>
                  </to>
                </anchor>
              </controlPr>
            </control>
          </mc:Choice>
        </mc:AlternateContent>
        <mc:AlternateContent xmlns:mc="http://schemas.openxmlformats.org/markup-compatibility/2006">
          <mc:Choice Requires="x14">
            <control shapeId="18539" r:id="rId49" name="Check Box 107">
              <controlPr defaultSize="0" autoFill="0" autoLine="0" autoPict="0">
                <anchor moveWithCells="1">
                  <from>
                    <xdr:col>4</xdr:col>
                    <xdr:colOff>47625</xdr:colOff>
                    <xdr:row>12</xdr:row>
                    <xdr:rowOff>66675</xdr:rowOff>
                  </from>
                  <to>
                    <xdr:col>4</xdr:col>
                    <xdr:colOff>352425</xdr:colOff>
                    <xdr:row>12</xdr:row>
                    <xdr:rowOff>295275</xdr:rowOff>
                  </to>
                </anchor>
              </controlPr>
            </control>
          </mc:Choice>
        </mc:AlternateContent>
        <mc:AlternateContent xmlns:mc="http://schemas.openxmlformats.org/markup-compatibility/2006">
          <mc:Choice Requires="x14">
            <control shapeId="18540" r:id="rId50" name="Check Box 108">
              <controlPr defaultSize="0" autoFill="0" autoLine="0" autoPict="0">
                <anchor moveWithCells="1">
                  <from>
                    <xdr:col>4</xdr:col>
                    <xdr:colOff>47625</xdr:colOff>
                    <xdr:row>13</xdr:row>
                    <xdr:rowOff>76200</xdr:rowOff>
                  </from>
                  <to>
                    <xdr:col>4</xdr:col>
                    <xdr:colOff>352425</xdr:colOff>
                    <xdr:row>14</xdr:row>
                    <xdr:rowOff>0</xdr:rowOff>
                  </to>
                </anchor>
              </controlPr>
            </control>
          </mc:Choice>
        </mc:AlternateContent>
        <mc:AlternateContent xmlns:mc="http://schemas.openxmlformats.org/markup-compatibility/2006">
          <mc:Choice Requires="x14">
            <control shapeId="18541" r:id="rId51" name="Check Box 109">
              <controlPr defaultSize="0" autoFill="0" autoLine="0" autoPict="0">
                <anchor moveWithCells="1">
                  <from>
                    <xdr:col>4</xdr:col>
                    <xdr:colOff>47625</xdr:colOff>
                    <xdr:row>14</xdr:row>
                    <xdr:rowOff>76200</xdr:rowOff>
                  </from>
                  <to>
                    <xdr:col>4</xdr:col>
                    <xdr:colOff>352425</xdr:colOff>
                    <xdr:row>15</xdr:row>
                    <xdr:rowOff>0</xdr:rowOff>
                  </to>
                </anchor>
              </controlPr>
            </control>
          </mc:Choice>
        </mc:AlternateContent>
        <mc:AlternateContent xmlns:mc="http://schemas.openxmlformats.org/markup-compatibility/2006">
          <mc:Choice Requires="x14">
            <control shapeId="18542" r:id="rId52" name="Check Box 110">
              <controlPr defaultSize="0" autoFill="0" autoLine="0" autoPict="0">
                <anchor moveWithCells="1">
                  <from>
                    <xdr:col>4</xdr:col>
                    <xdr:colOff>47625</xdr:colOff>
                    <xdr:row>15</xdr:row>
                    <xdr:rowOff>76200</xdr:rowOff>
                  </from>
                  <to>
                    <xdr:col>4</xdr:col>
                    <xdr:colOff>352425</xdr:colOff>
                    <xdr:row>16</xdr:row>
                    <xdr:rowOff>0</xdr:rowOff>
                  </to>
                </anchor>
              </controlPr>
            </control>
          </mc:Choice>
        </mc:AlternateContent>
        <mc:AlternateContent xmlns:mc="http://schemas.openxmlformats.org/markup-compatibility/2006">
          <mc:Choice Requires="x14">
            <control shapeId="18543" r:id="rId53" name="Check Box 111">
              <controlPr defaultSize="0" autoFill="0" autoLine="0" autoPict="0">
                <anchor moveWithCells="1">
                  <from>
                    <xdr:col>4</xdr:col>
                    <xdr:colOff>47625</xdr:colOff>
                    <xdr:row>16</xdr:row>
                    <xdr:rowOff>76200</xdr:rowOff>
                  </from>
                  <to>
                    <xdr:col>4</xdr:col>
                    <xdr:colOff>352425</xdr:colOff>
                    <xdr:row>17</xdr:row>
                    <xdr:rowOff>0</xdr:rowOff>
                  </to>
                </anchor>
              </controlPr>
            </control>
          </mc:Choice>
        </mc:AlternateContent>
        <mc:AlternateContent xmlns:mc="http://schemas.openxmlformats.org/markup-compatibility/2006">
          <mc:Choice Requires="x14">
            <control shapeId="18544" r:id="rId54" name="Check Box 112">
              <controlPr defaultSize="0" autoFill="0" autoLine="0" autoPict="0">
                <anchor moveWithCells="1">
                  <from>
                    <xdr:col>4</xdr:col>
                    <xdr:colOff>47625</xdr:colOff>
                    <xdr:row>17</xdr:row>
                    <xdr:rowOff>85725</xdr:rowOff>
                  </from>
                  <to>
                    <xdr:col>4</xdr:col>
                    <xdr:colOff>352425</xdr:colOff>
                    <xdr:row>18</xdr:row>
                    <xdr:rowOff>9525</xdr:rowOff>
                  </to>
                </anchor>
              </controlPr>
            </control>
          </mc:Choice>
        </mc:AlternateContent>
        <mc:AlternateContent xmlns:mc="http://schemas.openxmlformats.org/markup-compatibility/2006">
          <mc:Choice Requires="x14">
            <control shapeId="18545" r:id="rId55" name="Check Box 113">
              <controlPr defaultSize="0" autoFill="0" autoLine="0" autoPict="0">
                <anchor moveWithCells="1">
                  <from>
                    <xdr:col>4</xdr:col>
                    <xdr:colOff>47625</xdr:colOff>
                    <xdr:row>18</xdr:row>
                    <xdr:rowOff>85725</xdr:rowOff>
                  </from>
                  <to>
                    <xdr:col>4</xdr:col>
                    <xdr:colOff>352425</xdr:colOff>
                    <xdr:row>19</xdr:row>
                    <xdr:rowOff>9525</xdr:rowOff>
                  </to>
                </anchor>
              </controlPr>
            </control>
          </mc:Choice>
        </mc:AlternateContent>
        <mc:AlternateContent xmlns:mc="http://schemas.openxmlformats.org/markup-compatibility/2006">
          <mc:Choice Requires="x14">
            <control shapeId="18546" r:id="rId56" name="Check Box 114">
              <controlPr defaultSize="0" autoFill="0" autoLine="0" autoPict="0">
                <anchor moveWithCells="1">
                  <from>
                    <xdr:col>4</xdr:col>
                    <xdr:colOff>47625</xdr:colOff>
                    <xdr:row>19</xdr:row>
                    <xdr:rowOff>85725</xdr:rowOff>
                  </from>
                  <to>
                    <xdr:col>4</xdr:col>
                    <xdr:colOff>352425</xdr:colOff>
                    <xdr:row>20</xdr:row>
                    <xdr:rowOff>9525</xdr:rowOff>
                  </to>
                </anchor>
              </controlPr>
            </control>
          </mc:Choice>
        </mc:AlternateContent>
        <mc:AlternateContent xmlns:mc="http://schemas.openxmlformats.org/markup-compatibility/2006">
          <mc:Choice Requires="x14">
            <control shapeId="18547" r:id="rId57" name="Check Box 115">
              <controlPr defaultSize="0" autoFill="0" autoLine="0" autoPict="0">
                <anchor moveWithCells="1">
                  <from>
                    <xdr:col>4</xdr:col>
                    <xdr:colOff>47625</xdr:colOff>
                    <xdr:row>20</xdr:row>
                    <xdr:rowOff>85725</xdr:rowOff>
                  </from>
                  <to>
                    <xdr:col>4</xdr:col>
                    <xdr:colOff>352425</xdr:colOff>
                    <xdr:row>21</xdr:row>
                    <xdr:rowOff>9525</xdr:rowOff>
                  </to>
                </anchor>
              </controlPr>
            </control>
          </mc:Choice>
        </mc:AlternateContent>
        <mc:AlternateContent xmlns:mc="http://schemas.openxmlformats.org/markup-compatibility/2006">
          <mc:Choice Requires="x14">
            <control shapeId="18548" r:id="rId58" name="Check Box 116">
              <controlPr defaultSize="0" autoFill="0" autoLine="0" autoPict="0">
                <anchor moveWithCells="1">
                  <from>
                    <xdr:col>4</xdr:col>
                    <xdr:colOff>47625</xdr:colOff>
                    <xdr:row>21</xdr:row>
                    <xdr:rowOff>85725</xdr:rowOff>
                  </from>
                  <to>
                    <xdr:col>4</xdr:col>
                    <xdr:colOff>352425</xdr:colOff>
                    <xdr:row>22</xdr:row>
                    <xdr:rowOff>9525</xdr:rowOff>
                  </to>
                </anchor>
              </controlPr>
            </control>
          </mc:Choice>
        </mc:AlternateContent>
        <mc:AlternateContent xmlns:mc="http://schemas.openxmlformats.org/markup-compatibility/2006">
          <mc:Choice Requires="x14">
            <control shapeId="18549" r:id="rId59" name="Check Box 117">
              <controlPr defaultSize="0" autoFill="0" autoLine="0" autoPict="0">
                <anchor moveWithCells="1">
                  <from>
                    <xdr:col>4</xdr:col>
                    <xdr:colOff>47625</xdr:colOff>
                    <xdr:row>22</xdr:row>
                    <xdr:rowOff>95250</xdr:rowOff>
                  </from>
                  <to>
                    <xdr:col>4</xdr:col>
                    <xdr:colOff>352425</xdr:colOff>
                    <xdr:row>23</xdr:row>
                    <xdr:rowOff>19050</xdr:rowOff>
                  </to>
                </anchor>
              </controlPr>
            </control>
          </mc:Choice>
        </mc:AlternateContent>
        <mc:AlternateContent xmlns:mc="http://schemas.openxmlformats.org/markup-compatibility/2006">
          <mc:Choice Requires="x14">
            <control shapeId="18550" r:id="rId60" name="Check Box 118">
              <controlPr defaultSize="0" autoFill="0" autoLine="0" autoPict="0">
                <anchor moveWithCells="1">
                  <from>
                    <xdr:col>4</xdr:col>
                    <xdr:colOff>47625</xdr:colOff>
                    <xdr:row>23</xdr:row>
                    <xdr:rowOff>95250</xdr:rowOff>
                  </from>
                  <to>
                    <xdr:col>4</xdr:col>
                    <xdr:colOff>352425</xdr:colOff>
                    <xdr:row>24</xdr:row>
                    <xdr:rowOff>19050</xdr:rowOff>
                  </to>
                </anchor>
              </controlPr>
            </control>
          </mc:Choice>
        </mc:AlternateContent>
        <mc:AlternateContent xmlns:mc="http://schemas.openxmlformats.org/markup-compatibility/2006">
          <mc:Choice Requires="x14">
            <control shapeId="18551" r:id="rId61" name="Check Box 119">
              <controlPr defaultSize="0" autoFill="0" autoLine="0" autoPict="0">
                <anchor moveWithCells="1">
                  <from>
                    <xdr:col>4</xdr:col>
                    <xdr:colOff>47625</xdr:colOff>
                    <xdr:row>24</xdr:row>
                    <xdr:rowOff>95250</xdr:rowOff>
                  </from>
                  <to>
                    <xdr:col>4</xdr:col>
                    <xdr:colOff>352425</xdr:colOff>
                    <xdr:row>25</xdr:row>
                    <xdr:rowOff>19050</xdr:rowOff>
                  </to>
                </anchor>
              </controlPr>
            </control>
          </mc:Choice>
        </mc:AlternateContent>
        <mc:AlternateContent xmlns:mc="http://schemas.openxmlformats.org/markup-compatibility/2006">
          <mc:Choice Requires="x14">
            <control shapeId="18552" r:id="rId62" name="Check Box 120">
              <controlPr defaultSize="0" autoFill="0" autoLine="0" autoPict="0">
                <anchor moveWithCells="1">
                  <from>
                    <xdr:col>4</xdr:col>
                    <xdr:colOff>47625</xdr:colOff>
                    <xdr:row>25</xdr:row>
                    <xdr:rowOff>95250</xdr:rowOff>
                  </from>
                  <to>
                    <xdr:col>4</xdr:col>
                    <xdr:colOff>352425</xdr:colOff>
                    <xdr:row>26</xdr:row>
                    <xdr:rowOff>19050</xdr:rowOff>
                  </to>
                </anchor>
              </controlPr>
            </control>
          </mc:Choice>
        </mc:AlternateContent>
        <mc:AlternateContent xmlns:mc="http://schemas.openxmlformats.org/markup-compatibility/2006">
          <mc:Choice Requires="x14">
            <control shapeId="18553" r:id="rId63" name="Check Box 121">
              <controlPr defaultSize="0" autoFill="0" autoLine="0" autoPict="0">
                <anchor moveWithCells="1">
                  <from>
                    <xdr:col>4</xdr:col>
                    <xdr:colOff>47625</xdr:colOff>
                    <xdr:row>26</xdr:row>
                    <xdr:rowOff>104775</xdr:rowOff>
                  </from>
                  <to>
                    <xdr:col>4</xdr:col>
                    <xdr:colOff>352425</xdr:colOff>
                    <xdr:row>27</xdr:row>
                    <xdr:rowOff>28575</xdr:rowOff>
                  </to>
                </anchor>
              </controlPr>
            </control>
          </mc:Choice>
        </mc:AlternateContent>
        <mc:AlternateContent xmlns:mc="http://schemas.openxmlformats.org/markup-compatibility/2006">
          <mc:Choice Requires="x14">
            <control shapeId="18554" r:id="rId64" name="Check Box 122">
              <controlPr defaultSize="0" autoFill="0" autoLine="0" autoPict="0">
                <anchor moveWithCells="1">
                  <from>
                    <xdr:col>4</xdr:col>
                    <xdr:colOff>47625</xdr:colOff>
                    <xdr:row>27</xdr:row>
                    <xdr:rowOff>104775</xdr:rowOff>
                  </from>
                  <to>
                    <xdr:col>4</xdr:col>
                    <xdr:colOff>352425</xdr:colOff>
                    <xdr:row>28</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185BC-8C05-4685-8AD7-EB1D384414A9}">
  <sheetPr codeName="Tabelle9">
    <tabColor indexed="10"/>
  </sheetPr>
  <dimension ref="A1:I58"/>
  <sheetViews>
    <sheetView showGridLines="0" showZeros="0" zoomScale="90" workbookViewId="0">
      <selection activeCell="L36" sqref="L35:L36"/>
    </sheetView>
  </sheetViews>
  <sheetFormatPr baseColWidth="10" defaultRowHeight="12.75" x14ac:dyDescent="0.2"/>
  <cols>
    <col min="1" max="1" width="32.28515625" customWidth="1"/>
    <col min="2" max="2" width="38" customWidth="1"/>
    <col min="3" max="3" width="15.7109375" customWidth="1"/>
    <col min="4" max="4" width="11" customWidth="1"/>
  </cols>
  <sheetData>
    <row r="1" spans="1:4" ht="23.25" x14ac:dyDescent="0.35">
      <c r="A1" s="760">
        <f>DECKBLATT!B14</f>
        <v>0</v>
      </c>
    </row>
    <row r="2" spans="1:4" ht="18.75" customHeight="1" x14ac:dyDescent="0.35">
      <c r="B2" s="211"/>
      <c r="C2" s="211"/>
    </row>
    <row r="3" spans="1:4" ht="7.5" customHeight="1" x14ac:dyDescent="0.25">
      <c r="A3" s="5"/>
      <c r="D3" s="15"/>
    </row>
    <row r="4" spans="1:4" ht="30.75" customHeight="1" x14ac:dyDescent="0.4">
      <c r="A4" s="539" t="s">
        <v>448</v>
      </c>
      <c r="C4" s="988">
        <f>DECKBLATT!B11</f>
        <v>46022</v>
      </c>
      <c r="D4" s="988"/>
    </row>
    <row r="5" spans="1:4" ht="12" customHeight="1" x14ac:dyDescent="0.2">
      <c r="A5" s="6"/>
    </row>
    <row r="6" spans="1:4" s="26" customFormat="1" ht="24.75" customHeight="1" x14ac:dyDescent="0.2">
      <c r="A6" s="180" t="s">
        <v>80</v>
      </c>
      <c r="B6" s="180" t="s">
        <v>79</v>
      </c>
      <c r="C6" s="181" t="s">
        <v>76</v>
      </c>
      <c r="D6" s="182" t="s">
        <v>77</v>
      </c>
    </row>
    <row r="7" spans="1:4" s="18" customFormat="1" ht="20.25" customHeight="1" x14ac:dyDescent="0.2">
      <c r="A7" s="276"/>
      <c r="B7" s="277"/>
      <c r="C7" s="278"/>
      <c r="D7" s="574"/>
    </row>
    <row r="8" spans="1:4" s="18" customFormat="1" ht="20.25" customHeight="1" x14ac:dyDescent="0.2">
      <c r="A8" s="279"/>
      <c r="B8" s="280"/>
      <c r="C8" s="281"/>
      <c r="D8" s="575"/>
    </row>
    <row r="9" spans="1:4" s="18" customFormat="1" ht="20.25" customHeight="1" x14ac:dyDescent="0.2">
      <c r="A9" s="279"/>
      <c r="B9" s="280"/>
      <c r="C9" s="281"/>
      <c r="D9" s="575"/>
    </row>
    <row r="10" spans="1:4" s="18" customFormat="1" ht="20.25" customHeight="1" x14ac:dyDescent="0.2">
      <c r="A10" s="279"/>
      <c r="B10" s="280"/>
      <c r="C10" s="281"/>
      <c r="D10" s="575"/>
    </row>
    <row r="11" spans="1:4" s="18" customFormat="1" ht="20.25" customHeight="1" x14ac:dyDescent="0.2">
      <c r="A11" s="279"/>
      <c r="B11" s="280"/>
      <c r="C11" s="281"/>
      <c r="D11" s="575"/>
    </row>
    <row r="12" spans="1:4" s="18" customFormat="1" ht="20.25" customHeight="1" x14ac:dyDescent="0.2">
      <c r="A12" s="279"/>
      <c r="B12" s="280"/>
      <c r="C12" s="281"/>
      <c r="D12" s="575"/>
    </row>
    <row r="13" spans="1:4" s="18" customFormat="1" ht="20.25" customHeight="1" x14ac:dyDescent="0.2">
      <c r="A13" s="279"/>
      <c r="B13" s="280"/>
      <c r="C13" s="281"/>
      <c r="D13" s="575"/>
    </row>
    <row r="14" spans="1:4" s="18" customFormat="1" ht="20.25" customHeight="1" x14ac:dyDescent="0.2">
      <c r="A14" s="279"/>
      <c r="B14" s="280"/>
      <c r="C14" s="281"/>
      <c r="D14" s="575"/>
    </row>
    <row r="15" spans="1:4" s="18" customFormat="1" ht="20.25" customHeight="1" x14ac:dyDescent="0.2">
      <c r="A15" s="279"/>
      <c r="B15" s="280"/>
      <c r="C15" s="281"/>
      <c r="D15" s="575"/>
    </row>
    <row r="16" spans="1:4" s="18" customFormat="1" ht="20.25" customHeight="1" x14ac:dyDescent="0.2">
      <c r="A16" s="279"/>
      <c r="B16" s="280"/>
      <c r="C16" s="281"/>
      <c r="D16" s="575"/>
    </row>
    <row r="17" spans="1:4" s="18" customFormat="1" ht="20.25" customHeight="1" x14ac:dyDescent="0.2">
      <c r="A17" s="279"/>
      <c r="B17" s="280"/>
      <c r="C17" s="281"/>
      <c r="D17" s="575"/>
    </row>
    <row r="18" spans="1:4" s="18" customFormat="1" ht="20.25" customHeight="1" x14ac:dyDescent="0.2">
      <c r="A18" s="279"/>
      <c r="B18" s="280"/>
      <c r="C18" s="281"/>
      <c r="D18" s="575"/>
    </row>
    <row r="19" spans="1:4" s="18" customFormat="1" ht="20.25" customHeight="1" x14ac:dyDescent="0.2">
      <c r="A19" s="279"/>
      <c r="B19" s="280"/>
      <c r="C19" s="281"/>
      <c r="D19" s="575"/>
    </row>
    <row r="20" spans="1:4" s="18" customFormat="1" ht="20.25" customHeight="1" x14ac:dyDescent="0.2">
      <c r="A20" s="279"/>
      <c r="B20" s="280"/>
      <c r="C20" s="281"/>
      <c r="D20" s="575"/>
    </row>
    <row r="21" spans="1:4" s="18" customFormat="1" ht="20.25" customHeight="1" x14ac:dyDescent="0.2">
      <c r="A21" s="279"/>
      <c r="B21" s="280"/>
      <c r="C21" s="281"/>
      <c r="D21" s="575"/>
    </row>
    <row r="22" spans="1:4" s="18" customFormat="1" ht="20.25" customHeight="1" x14ac:dyDescent="0.2">
      <c r="A22" s="279"/>
      <c r="B22" s="280"/>
      <c r="C22" s="281"/>
      <c r="D22" s="575"/>
    </row>
    <row r="23" spans="1:4" s="18" customFormat="1" ht="20.25" customHeight="1" x14ac:dyDescent="0.2">
      <c r="A23" s="279"/>
      <c r="B23" s="280"/>
      <c r="C23" s="281"/>
      <c r="D23" s="575"/>
    </row>
    <row r="24" spans="1:4" s="18" customFormat="1" ht="20.25" customHeight="1" x14ac:dyDescent="0.2">
      <c r="A24" s="279"/>
      <c r="B24" s="280"/>
      <c r="C24" s="281"/>
      <c r="D24" s="575"/>
    </row>
    <row r="25" spans="1:4" s="18" customFormat="1" ht="20.25" customHeight="1" x14ac:dyDescent="0.2">
      <c r="A25" s="279"/>
      <c r="B25" s="280"/>
      <c r="C25" s="281"/>
      <c r="D25" s="575"/>
    </row>
    <row r="26" spans="1:4" s="18" customFormat="1" ht="20.25" customHeight="1" x14ac:dyDescent="0.2">
      <c r="A26" s="279"/>
      <c r="B26" s="280"/>
      <c r="C26" s="281"/>
      <c r="D26" s="575"/>
    </row>
    <row r="27" spans="1:4" s="18" customFormat="1" ht="20.25" customHeight="1" x14ac:dyDescent="0.2">
      <c r="A27" s="279"/>
      <c r="B27" s="280"/>
      <c r="C27" s="281"/>
      <c r="D27" s="575"/>
    </row>
    <row r="28" spans="1:4" s="18" customFormat="1" ht="20.25" customHeight="1" x14ac:dyDescent="0.2">
      <c r="A28" s="279"/>
      <c r="B28" s="280"/>
      <c r="C28" s="281"/>
      <c r="D28" s="575"/>
    </row>
    <row r="29" spans="1:4" s="18" customFormat="1" ht="20.25" customHeight="1" x14ac:dyDescent="0.2">
      <c r="A29" s="279"/>
      <c r="B29" s="280"/>
      <c r="C29" s="281"/>
      <c r="D29" s="575"/>
    </row>
    <row r="30" spans="1:4" s="18" customFormat="1" ht="20.25" customHeight="1" x14ac:dyDescent="0.2">
      <c r="A30" s="279"/>
      <c r="B30" s="280"/>
      <c r="C30" s="281"/>
      <c r="D30" s="575"/>
    </row>
    <row r="31" spans="1:4" s="18" customFormat="1" ht="20.25" customHeight="1" x14ac:dyDescent="0.2">
      <c r="A31" s="279"/>
      <c r="B31" s="280"/>
      <c r="C31" s="281"/>
      <c r="D31" s="575"/>
    </row>
    <row r="32" spans="1:4" s="18" customFormat="1" ht="20.25" customHeight="1" x14ac:dyDescent="0.2">
      <c r="A32" s="279"/>
      <c r="B32" s="280"/>
      <c r="C32" s="281"/>
      <c r="D32" s="575"/>
    </row>
    <row r="33" spans="1:4" s="18" customFormat="1" ht="20.25" customHeight="1" x14ac:dyDescent="0.2">
      <c r="A33" s="279"/>
      <c r="B33" s="280"/>
      <c r="C33" s="281"/>
      <c r="D33" s="575"/>
    </row>
    <row r="34" spans="1:4" s="18" customFormat="1" ht="20.25" customHeight="1" x14ac:dyDescent="0.2">
      <c r="A34" s="279"/>
      <c r="B34" s="280"/>
      <c r="C34" s="281"/>
      <c r="D34" s="575"/>
    </row>
    <row r="35" spans="1:4" s="18" customFormat="1" ht="20.25" customHeight="1" x14ac:dyDescent="0.2">
      <c r="A35" s="279"/>
      <c r="B35" s="280"/>
      <c r="C35" s="281"/>
      <c r="D35" s="575"/>
    </row>
    <row r="36" spans="1:4" s="18" customFormat="1" ht="20.25" customHeight="1" x14ac:dyDescent="0.2">
      <c r="A36" s="279"/>
      <c r="B36" s="280"/>
      <c r="C36" s="281"/>
      <c r="D36" s="575"/>
    </row>
    <row r="37" spans="1:4" s="18" customFormat="1" ht="21" customHeight="1" x14ac:dyDescent="0.2">
      <c r="A37" s="279"/>
      <c r="B37" s="280"/>
      <c r="C37" s="281"/>
      <c r="D37" s="575"/>
    </row>
    <row r="38" spans="1:4" s="18" customFormat="1" ht="20.25" customHeight="1" x14ac:dyDescent="0.2">
      <c r="A38" s="282"/>
      <c r="B38" s="283"/>
      <c r="C38" s="284"/>
      <c r="D38" s="576"/>
    </row>
    <row r="39" spans="1:4" ht="9" customHeight="1" thickBot="1" x14ac:dyDescent="0.25">
      <c r="A39" s="23"/>
      <c r="C39" s="32"/>
    </row>
    <row r="40" spans="1:4" s="31" customFormat="1" ht="27" customHeight="1" thickBot="1" x14ac:dyDescent="0.25">
      <c r="A40" s="1135" t="s">
        <v>78</v>
      </c>
      <c r="B40" s="1136"/>
      <c r="C40" s="219">
        <f>SUM(C7:C38)</f>
        <v>0</v>
      </c>
      <c r="D40" s="218">
        <v>1040</v>
      </c>
    </row>
    <row r="58" spans="9:9" x14ac:dyDescent="0.2">
      <c r="I58" s="114"/>
    </row>
  </sheetData>
  <sheetProtection sheet="1"/>
  <protectedRanges>
    <protectedRange sqref="A7:D38" name="Bereich1"/>
  </protectedRanges>
  <customSheetViews>
    <customSheetView guid="{B919D2EB-D122-4E25-8E52-25BE88B69D9E}" scale="90" showGridLines="0" zeroValues="0" topLeftCell="A23">
      <selection activeCell="D38" sqref="D7:D38"/>
      <pageMargins left="0.39" right="0.39370078740157483" top="0.39370078740157483" bottom="3.937007874015748E-2" header="0.39370078740157483" footer="0.2362204724409449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2">
    <mergeCell ref="A40:B40"/>
    <mergeCell ref="C4:D4"/>
  </mergeCells>
  <phoneticPr fontId="16" type="noConversion"/>
  <pageMargins left="0.39370078740157483" right="0.39370078740157483" top="0.39370078740157483" bottom="3.937007874015748E-2" header="0.39370078740157483" footer="0.23622047244094491"/>
  <pageSetup paperSize="9" orientation="portrait" blackAndWhite="1" r:id="rId2"/>
  <headerFooter alignWithMargins="0">
    <oddFooter>&amp;C&amp;8(C) Lerch Treuhand AG, Itingen</oddFooter>
  </headerFooter>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BD7D4-4FC4-457E-AA59-E0A796083498}">
  <sheetPr codeName="Tabelle22">
    <tabColor indexed="10"/>
  </sheetPr>
  <dimension ref="A1:D40"/>
  <sheetViews>
    <sheetView showGridLines="0" showZeros="0" showWhiteSpace="0" zoomScale="90" zoomScaleNormal="90" workbookViewId="0">
      <selection activeCell="H15" sqref="H15"/>
    </sheetView>
  </sheetViews>
  <sheetFormatPr baseColWidth="10" defaultRowHeight="12.75" x14ac:dyDescent="0.2"/>
  <cols>
    <col min="1" max="1" width="32.28515625" style="607" customWidth="1"/>
    <col min="2" max="2" width="38" style="607" customWidth="1"/>
    <col min="3" max="3" width="15.7109375" style="607" customWidth="1"/>
    <col min="4" max="4" width="11" style="607" customWidth="1"/>
    <col min="5" max="16384" width="11.42578125" style="607"/>
  </cols>
  <sheetData>
    <row r="1" spans="1:4" ht="23.25" x14ac:dyDescent="0.35">
      <c r="A1" s="761">
        <f>DECKBLATT!B14</f>
        <v>0</v>
      </c>
    </row>
    <row r="2" spans="1:4" ht="18.75" customHeight="1" x14ac:dyDescent="0.35">
      <c r="B2" s="608"/>
      <c r="C2" s="608"/>
    </row>
    <row r="3" spans="1:4" ht="20.25" customHeight="1" x14ac:dyDescent="0.3">
      <c r="A3" s="609" t="s">
        <v>436</v>
      </c>
      <c r="D3" s="610"/>
    </row>
    <row r="4" spans="1:4" ht="30.75" customHeight="1" x14ac:dyDescent="0.4">
      <c r="A4" s="611" t="s">
        <v>448</v>
      </c>
      <c r="C4" s="1139">
        <f>DECKBLATT!B11</f>
        <v>46022</v>
      </c>
      <c r="D4" s="1139"/>
    </row>
    <row r="5" spans="1:4" ht="12" customHeight="1" x14ac:dyDescent="0.2">
      <c r="A5" s="612"/>
    </row>
    <row r="6" spans="1:4" s="616" customFormat="1" ht="24.75" customHeight="1" thickBot="1" x14ac:dyDescent="0.25">
      <c r="A6" s="613" t="s">
        <v>80</v>
      </c>
      <c r="B6" s="613" t="s">
        <v>79</v>
      </c>
      <c r="C6" s="614" t="s">
        <v>76</v>
      </c>
      <c r="D6" s="615" t="s">
        <v>77</v>
      </c>
    </row>
    <row r="7" spans="1:4" s="621" customFormat="1" ht="20.25" customHeight="1" thickBot="1" x14ac:dyDescent="0.25">
      <c r="A7" s="617"/>
      <c r="B7" s="618" t="s">
        <v>438</v>
      </c>
      <c r="C7" s="619">
        <f>Debitoren!C40</f>
        <v>0</v>
      </c>
      <c r="D7" s="620"/>
    </row>
    <row r="8" spans="1:4" s="621" customFormat="1" ht="20.25" customHeight="1" x14ac:dyDescent="0.2">
      <c r="A8" s="622"/>
      <c r="B8" s="606"/>
      <c r="C8" s="623"/>
      <c r="D8" s="624"/>
    </row>
    <row r="9" spans="1:4" s="621" customFormat="1" ht="20.25" customHeight="1" x14ac:dyDescent="0.2">
      <c r="A9" s="625"/>
      <c r="B9" s="626"/>
      <c r="C9" s="627"/>
      <c r="D9" s="628"/>
    </row>
    <row r="10" spans="1:4" s="621" customFormat="1" ht="20.25" customHeight="1" x14ac:dyDescent="0.2">
      <c r="A10" s="625"/>
      <c r="B10" s="626"/>
      <c r="C10" s="627"/>
      <c r="D10" s="628"/>
    </row>
    <row r="11" spans="1:4" s="621" customFormat="1" ht="20.25" customHeight="1" x14ac:dyDescent="0.2">
      <c r="A11" s="625"/>
      <c r="B11" s="626"/>
      <c r="C11" s="627"/>
      <c r="D11" s="628"/>
    </row>
    <row r="12" spans="1:4" s="621" customFormat="1" ht="20.25" customHeight="1" x14ac:dyDescent="0.2">
      <c r="A12" s="625"/>
      <c r="B12" s="626"/>
      <c r="C12" s="627"/>
      <c r="D12" s="628"/>
    </row>
    <row r="13" spans="1:4" s="621" customFormat="1" ht="20.25" customHeight="1" x14ac:dyDescent="0.2">
      <c r="A13" s="625"/>
      <c r="B13" s="626"/>
      <c r="C13" s="627"/>
      <c r="D13" s="628"/>
    </row>
    <row r="14" spans="1:4" s="621" customFormat="1" ht="20.25" customHeight="1" x14ac:dyDescent="0.2">
      <c r="A14" s="625"/>
      <c r="B14" s="626"/>
      <c r="C14" s="627"/>
      <c r="D14" s="628"/>
    </row>
    <row r="15" spans="1:4" s="621" customFormat="1" ht="20.25" customHeight="1" x14ac:dyDescent="0.2">
      <c r="A15" s="625"/>
      <c r="B15" s="626"/>
      <c r="C15" s="627"/>
      <c r="D15" s="628"/>
    </row>
    <row r="16" spans="1:4" s="621" customFormat="1" ht="20.25" customHeight="1" x14ac:dyDescent="0.2">
      <c r="A16" s="625"/>
      <c r="B16" s="626"/>
      <c r="C16" s="627"/>
      <c r="D16" s="628"/>
    </row>
    <row r="17" spans="1:4" s="621" customFormat="1" ht="20.25" customHeight="1" x14ac:dyDescent="0.2">
      <c r="A17" s="625"/>
      <c r="B17" s="626"/>
      <c r="C17" s="627"/>
      <c r="D17" s="628"/>
    </row>
    <row r="18" spans="1:4" s="621" customFormat="1" ht="20.25" customHeight="1" x14ac:dyDescent="0.2">
      <c r="A18" s="625"/>
      <c r="B18" s="626"/>
      <c r="C18" s="627"/>
      <c r="D18" s="628"/>
    </row>
    <row r="19" spans="1:4" s="621" customFormat="1" ht="20.25" customHeight="1" x14ac:dyDescent="0.2">
      <c r="A19" s="625"/>
      <c r="B19" s="626"/>
      <c r="C19" s="627"/>
      <c r="D19" s="628"/>
    </row>
    <row r="20" spans="1:4" s="621" customFormat="1" ht="20.25" customHeight="1" x14ac:dyDescent="0.2">
      <c r="A20" s="625"/>
      <c r="B20" s="626"/>
      <c r="C20" s="627"/>
      <c r="D20" s="628"/>
    </row>
    <row r="21" spans="1:4" s="621" customFormat="1" ht="20.25" customHeight="1" x14ac:dyDescent="0.2">
      <c r="A21" s="625"/>
      <c r="B21" s="626"/>
      <c r="C21" s="627"/>
      <c r="D21" s="628"/>
    </row>
    <row r="22" spans="1:4" s="621" customFormat="1" ht="20.25" customHeight="1" x14ac:dyDescent="0.2">
      <c r="A22" s="625"/>
      <c r="B22" s="626"/>
      <c r="C22" s="627"/>
      <c r="D22" s="628"/>
    </row>
    <row r="23" spans="1:4" s="621" customFormat="1" ht="20.25" customHeight="1" x14ac:dyDescent="0.2">
      <c r="A23" s="625"/>
      <c r="B23" s="626"/>
      <c r="C23" s="627"/>
      <c r="D23" s="628"/>
    </row>
    <row r="24" spans="1:4" s="621" customFormat="1" ht="20.25" customHeight="1" x14ac:dyDescent="0.2">
      <c r="A24" s="625"/>
      <c r="B24" s="626"/>
      <c r="C24" s="627"/>
      <c r="D24" s="628"/>
    </row>
    <row r="25" spans="1:4" s="621" customFormat="1" ht="20.25" customHeight="1" x14ac:dyDescent="0.2">
      <c r="A25" s="625"/>
      <c r="B25" s="626"/>
      <c r="C25" s="627"/>
      <c r="D25" s="628"/>
    </row>
    <row r="26" spans="1:4" s="621" customFormat="1" ht="20.25" customHeight="1" x14ac:dyDescent="0.2">
      <c r="A26" s="625"/>
      <c r="B26" s="626"/>
      <c r="C26" s="627"/>
      <c r="D26" s="628"/>
    </row>
    <row r="27" spans="1:4" s="621" customFormat="1" ht="20.25" customHeight="1" x14ac:dyDescent="0.2">
      <c r="A27" s="625"/>
      <c r="B27" s="626"/>
      <c r="C27" s="627"/>
      <c r="D27" s="628"/>
    </row>
    <row r="28" spans="1:4" s="621" customFormat="1" ht="20.25" customHeight="1" x14ac:dyDescent="0.2">
      <c r="A28" s="625"/>
      <c r="B28" s="626"/>
      <c r="C28" s="627"/>
      <c r="D28" s="628"/>
    </row>
    <row r="29" spans="1:4" s="621" customFormat="1" ht="20.25" customHeight="1" x14ac:dyDescent="0.2">
      <c r="A29" s="625"/>
      <c r="B29" s="626"/>
      <c r="C29" s="627"/>
      <c r="D29" s="628"/>
    </row>
    <row r="30" spans="1:4" s="621" customFormat="1" ht="20.25" customHeight="1" x14ac:dyDescent="0.2">
      <c r="A30" s="625"/>
      <c r="B30" s="626"/>
      <c r="C30" s="627"/>
      <c r="D30" s="628"/>
    </row>
    <row r="31" spans="1:4" s="621" customFormat="1" ht="20.25" customHeight="1" x14ac:dyDescent="0.2">
      <c r="A31" s="625"/>
      <c r="B31" s="626"/>
      <c r="C31" s="627"/>
      <c r="D31" s="628"/>
    </row>
    <row r="32" spans="1:4" s="621" customFormat="1" ht="20.25" customHeight="1" x14ac:dyDescent="0.2">
      <c r="A32" s="625"/>
      <c r="B32" s="626"/>
      <c r="C32" s="627"/>
      <c r="D32" s="628"/>
    </row>
    <row r="33" spans="1:4" s="621" customFormat="1" ht="20.25" customHeight="1" x14ac:dyDescent="0.2">
      <c r="A33" s="625"/>
      <c r="B33" s="626"/>
      <c r="C33" s="627"/>
      <c r="D33" s="628"/>
    </row>
    <row r="34" spans="1:4" s="621" customFormat="1" ht="20.25" customHeight="1" x14ac:dyDescent="0.2">
      <c r="A34" s="625"/>
      <c r="B34" s="626"/>
      <c r="C34" s="627"/>
      <c r="D34" s="628"/>
    </row>
    <row r="35" spans="1:4" s="621" customFormat="1" ht="20.25" customHeight="1" x14ac:dyDescent="0.2">
      <c r="A35" s="625"/>
      <c r="B35" s="626"/>
      <c r="C35" s="627"/>
      <c r="D35" s="628"/>
    </row>
    <row r="36" spans="1:4" s="621" customFormat="1" ht="20.25" customHeight="1" x14ac:dyDescent="0.2">
      <c r="A36" s="625"/>
      <c r="B36" s="626"/>
      <c r="C36" s="627"/>
      <c r="D36" s="628"/>
    </row>
    <row r="37" spans="1:4" s="621" customFormat="1" ht="21" customHeight="1" x14ac:dyDescent="0.2">
      <c r="A37" s="625"/>
      <c r="B37" s="626"/>
      <c r="C37" s="627"/>
      <c r="D37" s="628"/>
    </row>
    <row r="38" spans="1:4" s="621" customFormat="1" ht="20.25" customHeight="1" x14ac:dyDescent="0.2">
      <c r="A38" s="629"/>
      <c r="B38" s="630"/>
      <c r="C38" s="631"/>
      <c r="D38" s="632"/>
    </row>
    <row r="39" spans="1:4" ht="9" customHeight="1" thickBot="1" x14ac:dyDescent="0.25">
      <c r="A39" s="633"/>
      <c r="C39" s="634"/>
    </row>
    <row r="40" spans="1:4" s="637" customFormat="1" ht="27" customHeight="1" thickBot="1" x14ac:dyDescent="0.25">
      <c r="A40" s="1137" t="s">
        <v>437</v>
      </c>
      <c r="B40" s="1138"/>
      <c r="C40" s="635">
        <f>SUM(C7:C38)</f>
        <v>0</v>
      </c>
      <c r="D40" s="636">
        <v>1040</v>
      </c>
    </row>
  </sheetData>
  <sheetProtection sheet="1"/>
  <protectedRanges>
    <protectedRange sqref="A8:D38" name="Bereich1"/>
  </protectedRanges>
  <customSheetViews>
    <customSheetView guid="{B919D2EB-D122-4E25-8E52-25BE88B69D9E}" scale="90" showPageBreaks="1" showGridLines="0" zeroValues="0">
      <selection activeCell="C8" sqref="C8"/>
      <pageMargins left="0.39" right="0.39370078740157483" top="0.39370078740157483" bottom="3.937007874015748E-2" header="0.39370078740157483" footer="0.2362204724409449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2">
    <mergeCell ref="A40:B40"/>
    <mergeCell ref="C4:D4"/>
  </mergeCells>
  <phoneticPr fontId="16" type="noConversion"/>
  <pageMargins left="0.39370078740157483" right="0.39370078740157483" top="0.39370078740157483" bottom="0.23622047244094491" header="0.39370078740157483" footer="3.937007874015748E-2"/>
  <pageSetup paperSize="9" orientation="portrait" blackAndWhite="1" r:id="rId2"/>
  <headerFooter alignWithMargins="0">
    <oddFooter>&amp;C&amp;8(C) Lerch Treuhand AG, Itingen</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ACCBB-F008-4E66-98FB-1A98C0738C17}">
  <sheetPr codeName="Tabelle10">
    <tabColor indexed="10"/>
  </sheetPr>
  <dimension ref="A1:G39"/>
  <sheetViews>
    <sheetView showGridLines="0" showZeros="0" zoomScale="90" workbookViewId="0">
      <selection activeCell="J12" sqref="J12"/>
    </sheetView>
  </sheetViews>
  <sheetFormatPr baseColWidth="10" defaultRowHeight="12.75" x14ac:dyDescent="0.2"/>
  <cols>
    <col min="1" max="1" width="3.28515625" style="16" customWidth="1"/>
    <col min="2" max="2" width="16.5703125" customWidth="1"/>
    <col min="3" max="3" width="17.140625" customWidth="1"/>
    <col min="4" max="4" width="16.5703125" customWidth="1"/>
    <col min="5" max="5" width="14.7109375" customWidth="1"/>
    <col min="6" max="6" width="14" customWidth="1"/>
    <col min="7" max="7" width="14.42578125" customWidth="1"/>
    <col min="8" max="8" width="15" customWidth="1"/>
  </cols>
  <sheetData>
    <row r="1" spans="1:7" ht="21.75" customHeight="1" x14ac:dyDescent="0.35">
      <c r="A1" s="760">
        <f>DECKBLATT!B14</f>
        <v>0</v>
      </c>
      <c r="B1" s="2"/>
      <c r="C1" s="2"/>
      <c r="D1" s="2"/>
    </row>
    <row r="2" spans="1:7" ht="24" customHeight="1" x14ac:dyDescent="0.25">
      <c r="C2" s="87"/>
      <c r="D2" s="87"/>
      <c r="E2" s="89"/>
      <c r="G2" s="15"/>
    </row>
    <row r="3" spans="1:7" ht="13.5" customHeight="1" x14ac:dyDescent="0.35">
      <c r="A3" s="211"/>
      <c r="C3" s="87"/>
      <c r="D3" s="87"/>
      <c r="E3" s="89"/>
      <c r="G3" s="15"/>
    </row>
    <row r="4" spans="1:7" ht="26.25" x14ac:dyDescent="0.4">
      <c r="A4" s="539" t="s">
        <v>434</v>
      </c>
      <c r="C4" s="5"/>
      <c r="D4" s="5"/>
      <c r="F4" s="988">
        <f>DECKBLATT!B11</f>
        <v>46022</v>
      </c>
      <c r="G4" s="988"/>
    </row>
    <row r="5" spans="1:7" x14ac:dyDescent="0.2">
      <c r="B5" s="6"/>
      <c r="C5" s="6"/>
      <c r="D5" s="6"/>
    </row>
    <row r="6" spans="1:7" ht="14.25" x14ac:dyDescent="0.2">
      <c r="A6" s="22" t="s">
        <v>85</v>
      </c>
      <c r="C6" s="22"/>
      <c r="D6" s="22"/>
    </row>
    <row r="7" spans="1:7" ht="14.25" x14ac:dyDescent="0.2">
      <c r="A7" s="22" t="s">
        <v>465</v>
      </c>
      <c r="C7" s="22"/>
      <c r="D7" s="22"/>
    </row>
    <row r="8" spans="1:7" ht="14.25" x14ac:dyDescent="0.2">
      <c r="A8" s="763" t="s">
        <v>460</v>
      </c>
      <c r="C8" s="22"/>
      <c r="D8" s="22"/>
    </row>
    <row r="9" spans="1:7" ht="13.5" customHeight="1" x14ac:dyDescent="0.2">
      <c r="B9" s="6"/>
      <c r="C9" s="6"/>
      <c r="D9" s="6"/>
    </row>
    <row r="10" spans="1:7" s="46" customFormat="1" ht="26.25" customHeight="1" x14ac:dyDescent="0.2">
      <c r="A10" s="154" t="s">
        <v>433</v>
      </c>
      <c r="B10" s="154" t="s">
        <v>435</v>
      </c>
      <c r="C10" s="1144" t="s">
        <v>81</v>
      </c>
      <c r="D10" s="1145"/>
      <c r="E10" s="154" t="s">
        <v>82</v>
      </c>
      <c r="F10" s="154" t="s">
        <v>83</v>
      </c>
      <c r="G10" s="154" t="s">
        <v>84</v>
      </c>
    </row>
    <row r="11" spans="1:7" ht="20.25" customHeight="1" x14ac:dyDescent="0.2">
      <c r="A11" s="571">
        <v>1</v>
      </c>
      <c r="B11" s="285"/>
      <c r="C11" s="1146"/>
      <c r="D11" s="1146"/>
      <c r="E11" s="286"/>
      <c r="F11" s="286"/>
      <c r="G11" s="287"/>
    </row>
    <row r="12" spans="1:7" ht="20.25" customHeight="1" x14ac:dyDescent="0.2">
      <c r="A12" s="572">
        <v>2</v>
      </c>
      <c r="B12" s="288"/>
      <c r="C12" s="1140"/>
      <c r="D12" s="1141"/>
      <c r="E12" s="289"/>
      <c r="F12" s="289"/>
      <c r="G12" s="290"/>
    </row>
    <row r="13" spans="1:7" ht="20.25" customHeight="1" x14ac:dyDescent="0.2">
      <c r="A13" s="572">
        <v>3</v>
      </c>
      <c r="B13" s="288"/>
      <c r="C13" s="1140"/>
      <c r="D13" s="1141"/>
      <c r="E13" s="289"/>
      <c r="F13" s="289"/>
      <c r="G13" s="290"/>
    </row>
    <row r="14" spans="1:7" ht="20.25" customHeight="1" x14ac:dyDescent="0.2">
      <c r="A14" s="572">
        <v>4</v>
      </c>
      <c r="B14" s="288"/>
      <c r="C14" s="1140"/>
      <c r="D14" s="1141"/>
      <c r="E14" s="289"/>
      <c r="F14" s="289"/>
      <c r="G14" s="290"/>
    </row>
    <row r="15" spans="1:7" ht="20.25" customHeight="1" x14ac:dyDescent="0.2">
      <c r="A15" s="572">
        <v>5</v>
      </c>
      <c r="B15" s="288"/>
      <c r="C15" s="1140"/>
      <c r="D15" s="1141"/>
      <c r="E15" s="289"/>
      <c r="F15" s="289"/>
      <c r="G15" s="290"/>
    </row>
    <row r="16" spans="1:7" ht="20.25" customHeight="1" x14ac:dyDescent="0.2">
      <c r="A16" s="572">
        <v>6</v>
      </c>
      <c r="B16" s="288"/>
      <c r="C16" s="1140"/>
      <c r="D16" s="1141"/>
      <c r="E16" s="289"/>
      <c r="F16" s="289"/>
      <c r="G16" s="290"/>
    </row>
    <row r="17" spans="1:7" ht="20.25" customHeight="1" x14ac:dyDescent="0.2">
      <c r="A17" s="572">
        <v>7</v>
      </c>
      <c r="B17" s="288"/>
      <c r="C17" s="1140"/>
      <c r="D17" s="1141"/>
      <c r="E17" s="289"/>
      <c r="F17" s="289"/>
      <c r="G17" s="290"/>
    </row>
    <row r="18" spans="1:7" ht="20.25" customHeight="1" x14ac:dyDescent="0.2">
      <c r="A18" s="572">
        <v>8</v>
      </c>
      <c r="B18" s="288"/>
      <c r="C18" s="1140"/>
      <c r="D18" s="1141"/>
      <c r="E18" s="289"/>
      <c r="F18" s="289"/>
      <c r="G18" s="290"/>
    </row>
    <row r="19" spans="1:7" ht="20.25" customHeight="1" x14ac:dyDescent="0.2">
      <c r="A19" s="572">
        <v>9</v>
      </c>
      <c r="B19" s="288"/>
      <c r="C19" s="1140"/>
      <c r="D19" s="1141"/>
      <c r="E19" s="289"/>
      <c r="F19" s="289"/>
      <c r="G19" s="290"/>
    </row>
    <row r="20" spans="1:7" ht="20.25" customHeight="1" x14ac:dyDescent="0.2">
      <c r="A20" s="572">
        <v>10</v>
      </c>
      <c r="B20" s="288"/>
      <c r="C20" s="1140"/>
      <c r="D20" s="1141"/>
      <c r="E20" s="289"/>
      <c r="F20" s="289"/>
      <c r="G20" s="290"/>
    </row>
    <row r="21" spans="1:7" ht="20.25" customHeight="1" x14ac:dyDescent="0.2">
      <c r="A21" s="572">
        <v>11</v>
      </c>
      <c r="B21" s="288"/>
      <c r="C21" s="1140"/>
      <c r="D21" s="1141"/>
      <c r="E21" s="289"/>
      <c r="F21" s="289"/>
      <c r="G21" s="290"/>
    </row>
    <row r="22" spans="1:7" ht="20.25" customHeight="1" x14ac:dyDescent="0.2">
      <c r="A22" s="572">
        <v>12</v>
      </c>
      <c r="B22" s="288"/>
      <c r="C22" s="1140"/>
      <c r="D22" s="1141"/>
      <c r="E22" s="289"/>
      <c r="F22" s="289"/>
      <c r="G22" s="290"/>
    </row>
    <row r="23" spans="1:7" ht="20.25" customHeight="1" x14ac:dyDescent="0.2">
      <c r="A23" s="572">
        <v>13</v>
      </c>
      <c r="B23" s="288"/>
      <c r="C23" s="1140"/>
      <c r="D23" s="1141"/>
      <c r="E23" s="289"/>
      <c r="F23" s="289"/>
      <c r="G23" s="290"/>
    </row>
    <row r="24" spans="1:7" ht="20.25" customHeight="1" x14ac:dyDescent="0.2">
      <c r="A24" s="572">
        <v>14</v>
      </c>
      <c r="B24" s="288"/>
      <c r="C24" s="1140"/>
      <c r="D24" s="1141"/>
      <c r="E24" s="289"/>
      <c r="F24" s="289"/>
      <c r="G24" s="290"/>
    </row>
    <row r="25" spans="1:7" ht="20.25" customHeight="1" x14ac:dyDescent="0.2">
      <c r="A25" s="572">
        <v>15</v>
      </c>
      <c r="B25" s="288"/>
      <c r="C25" s="1140"/>
      <c r="D25" s="1141"/>
      <c r="E25" s="289"/>
      <c r="F25" s="289"/>
      <c r="G25" s="290"/>
    </row>
    <row r="26" spans="1:7" ht="20.25" customHeight="1" x14ac:dyDescent="0.2">
      <c r="A26" s="572">
        <v>16</v>
      </c>
      <c r="B26" s="288"/>
      <c r="C26" s="1140"/>
      <c r="D26" s="1141"/>
      <c r="E26" s="289"/>
      <c r="F26" s="289"/>
      <c r="G26" s="290"/>
    </row>
    <row r="27" spans="1:7" ht="20.25" customHeight="1" x14ac:dyDescent="0.2">
      <c r="A27" s="572">
        <v>17</v>
      </c>
      <c r="B27" s="288"/>
      <c r="C27" s="1140"/>
      <c r="D27" s="1141"/>
      <c r="E27" s="289"/>
      <c r="F27" s="289"/>
      <c r="G27" s="290"/>
    </row>
    <row r="28" spans="1:7" ht="20.25" customHeight="1" x14ac:dyDescent="0.2">
      <c r="A28" s="572">
        <v>18</v>
      </c>
      <c r="B28" s="288"/>
      <c r="C28" s="1140"/>
      <c r="D28" s="1141"/>
      <c r="E28" s="289"/>
      <c r="F28" s="289"/>
      <c r="G28" s="290"/>
    </row>
    <row r="29" spans="1:7" ht="20.25" customHeight="1" x14ac:dyDescent="0.2">
      <c r="A29" s="572">
        <v>19</v>
      </c>
      <c r="B29" s="288"/>
      <c r="C29" s="1140"/>
      <c r="D29" s="1141"/>
      <c r="E29" s="289"/>
      <c r="F29" s="289"/>
      <c r="G29" s="290"/>
    </row>
    <row r="30" spans="1:7" ht="20.25" customHeight="1" x14ac:dyDescent="0.2">
      <c r="A30" s="572">
        <v>20</v>
      </c>
      <c r="B30" s="288"/>
      <c r="C30" s="1140"/>
      <c r="D30" s="1141"/>
      <c r="E30" s="289"/>
      <c r="F30" s="289"/>
      <c r="G30" s="290"/>
    </row>
    <row r="31" spans="1:7" ht="20.25" customHeight="1" x14ac:dyDescent="0.2">
      <c r="A31" s="572">
        <v>21</v>
      </c>
      <c r="B31" s="288"/>
      <c r="C31" s="1140"/>
      <c r="D31" s="1141"/>
      <c r="E31" s="289"/>
      <c r="F31" s="289"/>
      <c r="G31" s="290"/>
    </row>
    <row r="32" spans="1:7" ht="20.25" customHeight="1" x14ac:dyDescent="0.2">
      <c r="A32" s="572">
        <v>22</v>
      </c>
      <c r="B32" s="288"/>
      <c r="C32" s="1140"/>
      <c r="D32" s="1141"/>
      <c r="E32" s="289"/>
      <c r="F32" s="289"/>
      <c r="G32" s="290"/>
    </row>
    <row r="33" spans="1:7" ht="20.25" customHeight="1" x14ac:dyDescent="0.2">
      <c r="A33" s="572">
        <v>23</v>
      </c>
      <c r="B33" s="288"/>
      <c r="C33" s="1140"/>
      <c r="D33" s="1141"/>
      <c r="E33" s="289"/>
      <c r="F33" s="289"/>
      <c r="G33" s="290"/>
    </row>
    <row r="34" spans="1:7" ht="20.25" customHeight="1" x14ac:dyDescent="0.2">
      <c r="A34" s="572">
        <v>24</v>
      </c>
      <c r="B34" s="288"/>
      <c r="C34" s="569"/>
      <c r="D34" s="570"/>
      <c r="E34" s="289"/>
      <c r="F34" s="289"/>
      <c r="G34" s="290"/>
    </row>
    <row r="35" spans="1:7" ht="20.25" customHeight="1" x14ac:dyDescent="0.2">
      <c r="A35" s="573">
        <v>25</v>
      </c>
      <c r="B35" s="288"/>
      <c r="C35" s="1140"/>
      <c r="D35" s="1141"/>
      <c r="E35" s="289"/>
      <c r="F35" s="289"/>
      <c r="G35" s="290"/>
    </row>
    <row r="36" spans="1:7" s="140" customFormat="1" ht="10.5" customHeight="1" thickBot="1" x14ac:dyDescent="0.25">
      <c r="A36" s="143"/>
      <c r="B36" s="136"/>
      <c r="C36" s="137"/>
      <c r="D36" s="137"/>
      <c r="E36" s="138"/>
      <c r="F36" s="138"/>
      <c r="G36" s="139"/>
    </row>
    <row r="37" spans="1:7" ht="21.75" customHeight="1" thickBot="1" x14ac:dyDescent="0.25">
      <c r="A37" s="566"/>
      <c r="B37" s="567" t="s">
        <v>35</v>
      </c>
      <c r="C37" s="183"/>
      <c r="D37" s="183"/>
      <c r="E37" s="183"/>
      <c r="F37" s="183"/>
      <c r="G37" s="568">
        <f>SUM(G11:G35)</f>
        <v>0</v>
      </c>
    </row>
    <row r="38" spans="1:7" s="135" customFormat="1" ht="33" customHeight="1" thickBot="1" x14ac:dyDescent="0.25">
      <c r="A38" s="565"/>
      <c r="B38" s="132"/>
      <c r="C38" s="133"/>
      <c r="D38" s="133"/>
      <c r="E38" s="133"/>
      <c r="F38" s="133"/>
      <c r="G38" s="134"/>
    </row>
    <row r="39" spans="1:7" s="18" customFormat="1" ht="20.25" customHeight="1" thickBot="1" x14ac:dyDescent="0.25">
      <c r="A39" s="46"/>
      <c r="B39" s="1135" t="s">
        <v>432</v>
      </c>
      <c r="C39" s="1136"/>
      <c r="D39" s="1136"/>
      <c r="E39" s="1136"/>
      <c r="F39" s="1142"/>
      <c r="G39" s="1143"/>
    </row>
  </sheetData>
  <sheetProtection sheet="1"/>
  <customSheetViews>
    <customSheetView guid="{B919D2EB-D122-4E25-8E52-25BE88B69D9E}" scale="90" showPageBreaks="1" showGridLines="0" zeroValues="0" printArea="1">
      <selection activeCell="C17" sqref="C17:D17"/>
      <pageMargins left="0.39370078740157483" right="0.43307086614173229" top="0.39370078740157483" bottom="3.937007874015748E-2" header="0.39370078740157483" footer="0.2362204724409449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28">
    <mergeCell ref="F4:G4"/>
    <mergeCell ref="B39:E39"/>
    <mergeCell ref="C18:D18"/>
    <mergeCell ref="C35:D35"/>
    <mergeCell ref="C14:D14"/>
    <mergeCell ref="C15:D15"/>
    <mergeCell ref="C16:D16"/>
    <mergeCell ref="C17:D17"/>
    <mergeCell ref="C11:D11"/>
    <mergeCell ref="C12:D12"/>
    <mergeCell ref="C13:D13"/>
    <mergeCell ref="C10:D10"/>
    <mergeCell ref="C19:D19"/>
    <mergeCell ref="C31:D31"/>
    <mergeCell ref="C20:D20"/>
    <mergeCell ref="C21:D21"/>
    <mergeCell ref="C29:D29"/>
    <mergeCell ref="C30:D30"/>
    <mergeCell ref="C26:D26"/>
    <mergeCell ref="C27:D27"/>
    <mergeCell ref="C22:D22"/>
    <mergeCell ref="C23:D23"/>
    <mergeCell ref="C24:D24"/>
    <mergeCell ref="C25:D25"/>
    <mergeCell ref="C28:D28"/>
    <mergeCell ref="F39:G39"/>
    <mergeCell ref="C32:D32"/>
    <mergeCell ref="C33:D33"/>
  </mergeCells>
  <phoneticPr fontId="16" type="noConversion"/>
  <pageMargins left="0.39370078740157483" right="0.43307086614173229" top="0.39370078740157483" bottom="3.937007874015748E-2" header="0.39370078740157483" footer="0.23622047244094491"/>
  <pageSetup paperSize="9" orientation="portrait" blackAndWhite="1" r:id="rId2"/>
  <headerFooter alignWithMargins="0">
    <oddFooter>&amp;C&amp;8(C) Lerch Treuhand AG, Itingen</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CE18F-55D2-4547-919E-E0BF59DB2268}">
  <sheetPr codeName="Tabelle11">
    <tabColor indexed="10"/>
  </sheetPr>
  <dimension ref="A1:D40"/>
  <sheetViews>
    <sheetView showGridLines="0" showZeros="0" zoomScale="90" workbookViewId="0">
      <selection activeCell="G7" sqref="G7"/>
    </sheetView>
  </sheetViews>
  <sheetFormatPr baseColWidth="10" defaultRowHeight="12.75" x14ac:dyDescent="0.2"/>
  <cols>
    <col min="1" max="1" width="32.42578125" style="607" customWidth="1"/>
    <col min="2" max="2" width="37.85546875" style="607" customWidth="1"/>
    <col min="3" max="3" width="15.7109375" style="607" customWidth="1"/>
    <col min="4" max="4" width="10.85546875" style="607" customWidth="1"/>
    <col min="5" max="16384" width="11.42578125" style="607"/>
  </cols>
  <sheetData>
    <row r="1" spans="1:4" ht="23.25" x14ac:dyDescent="0.35">
      <c r="A1" s="761">
        <f>DECKBLATT!B14</f>
        <v>0</v>
      </c>
    </row>
    <row r="2" spans="1:4" ht="16.5" customHeight="1" x14ac:dyDescent="0.35">
      <c r="B2" s="608"/>
      <c r="C2" s="608"/>
    </row>
    <row r="3" spans="1:4" ht="12" customHeight="1" x14ac:dyDescent="0.25">
      <c r="A3" s="638"/>
      <c r="D3" s="610"/>
    </row>
    <row r="4" spans="1:4" ht="33" customHeight="1" x14ac:dyDescent="0.4">
      <c r="A4" s="611" t="s">
        <v>447</v>
      </c>
      <c r="C4" s="1139">
        <f>DECKBLATT!B11</f>
        <v>46022</v>
      </c>
      <c r="D4" s="1139"/>
    </row>
    <row r="5" spans="1:4" ht="12" customHeight="1" x14ac:dyDescent="0.2">
      <c r="A5" s="612"/>
    </row>
    <row r="6" spans="1:4" s="616" customFormat="1" ht="24.75" customHeight="1" x14ac:dyDescent="0.2">
      <c r="A6" s="639" t="s">
        <v>86</v>
      </c>
      <c r="B6" s="639" t="s">
        <v>87</v>
      </c>
      <c r="C6" s="640" t="s">
        <v>76</v>
      </c>
      <c r="D6" s="641" t="s">
        <v>77</v>
      </c>
    </row>
    <row r="7" spans="1:4" ht="20.25" customHeight="1" x14ac:dyDescent="0.2">
      <c r="A7" s="642"/>
      <c r="B7" s="643"/>
      <c r="C7" s="644"/>
      <c r="D7" s="645"/>
    </row>
    <row r="8" spans="1:4" ht="20.25" customHeight="1" x14ac:dyDescent="0.2">
      <c r="A8" s="625"/>
      <c r="B8" s="626"/>
      <c r="C8" s="627"/>
      <c r="D8" s="628"/>
    </row>
    <row r="9" spans="1:4" ht="20.25" customHeight="1" x14ac:dyDescent="0.2">
      <c r="A9" s="625"/>
      <c r="B9" s="626"/>
      <c r="C9" s="627"/>
      <c r="D9" s="628"/>
    </row>
    <row r="10" spans="1:4" ht="20.25" customHeight="1" x14ac:dyDescent="0.2">
      <c r="A10" s="625"/>
      <c r="B10" s="626"/>
      <c r="C10" s="627"/>
      <c r="D10" s="628"/>
    </row>
    <row r="11" spans="1:4" ht="20.25" customHeight="1" x14ac:dyDescent="0.2">
      <c r="A11" s="625"/>
      <c r="B11" s="626"/>
      <c r="C11" s="627"/>
      <c r="D11" s="628"/>
    </row>
    <row r="12" spans="1:4" ht="20.25" customHeight="1" x14ac:dyDescent="0.2">
      <c r="A12" s="625"/>
      <c r="B12" s="626"/>
      <c r="C12" s="627"/>
      <c r="D12" s="628"/>
    </row>
    <row r="13" spans="1:4" ht="20.25" customHeight="1" x14ac:dyDescent="0.2">
      <c r="A13" s="625"/>
      <c r="B13" s="626"/>
      <c r="C13" s="627"/>
      <c r="D13" s="628"/>
    </row>
    <row r="14" spans="1:4" ht="20.25" customHeight="1" x14ac:dyDescent="0.2">
      <c r="A14" s="625"/>
      <c r="B14" s="626"/>
      <c r="C14" s="627"/>
      <c r="D14" s="628"/>
    </row>
    <row r="15" spans="1:4" ht="20.25" customHeight="1" x14ac:dyDescent="0.2">
      <c r="A15" s="625"/>
      <c r="B15" s="626"/>
      <c r="C15" s="627"/>
      <c r="D15" s="628"/>
    </row>
    <row r="16" spans="1:4" ht="20.25" customHeight="1" x14ac:dyDescent="0.2">
      <c r="A16" s="625"/>
      <c r="B16" s="626"/>
      <c r="C16" s="627"/>
      <c r="D16" s="628"/>
    </row>
    <row r="17" spans="1:4" ht="20.25" customHeight="1" x14ac:dyDescent="0.2">
      <c r="A17" s="625"/>
      <c r="B17" s="626"/>
      <c r="C17" s="627"/>
      <c r="D17" s="628"/>
    </row>
    <row r="18" spans="1:4" ht="20.25" customHeight="1" x14ac:dyDescent="0.2">
      <c r="A18" s="625"/>
      <c r="B18" s="626"/>
      <c r="C18" s="627"/>
      <c r="D18" s="628"/>
    </row>
    <row r="19" spans="1:4" ht="20.25" customHeight="1" x14ac:dyDescent="0.2">
      <c r="A19" s="625"/>
      <c r="B19" s="626"/>
      <c r="C19" s="627"/>
      <c r="D19" s="628"/>
    </row>
    <row r="20" spans="1:4" ht="20.25" customHeight="1" x14ac:dyDescent="0.2">
      <c r="A20" s="625"/>
      <c r="B20" s="626"/>
      <c r="C20" s="627"/>
      <c r="D20" s="628"/>
    </row>
    <row r="21" spans="1:4" ht="20.25" customHeight="1" x14ac:dyDescent="0.2">
      <c r="A21" s="625"/>
      <c r="B21" s="626"/>
      <c r="C21" s="627"/>
      <c r="D21" s="628"/>
    </row>
    <row r="22" spans="1:4" ht="20.25" customHeight="1" x14ac:dyDescent="0.2">
      <c r="A22" s="625"/>
      <c r="B22" s="626"/>
      <c r="C22" s="627"/>
      <c r="D22" s="628"/>
    </row>
    <row r="23" spans="1:4" ht="20.25" customHeight="1" x14ac:dyDescent="0.2">
      <c r="A23" s="625"/>
      <c r="B23" s="626"/>
      <c r="C23" s="627"/>
      <c r="D23" s="628"/>
    </row>
    <row r="24" spans="1:4" ht="20.25" customHeight="1" x14ac:dyDescent="0.2">
      <c r="A24" s="625"/>
      <c r="B24" s="626"/>
      <c r="C24" s="627"/>
      <c r="D24" s="628"/>
    </row>
    <row r="25" spans="1:4" ht="20.25" customHeight="1" x14ac:dyDescent="0.2">
      <c r="A25" s="625"/>
      <c r="B25" s="626"/>
      <c r="C25" s="627"/>
      <c r="D25" s="628"/>
    </row>
    <row r="26" spans="1:4" ht="20.25" customHeight="1" x14ac:dyDescent="0.2">
      <c r="A26" s="625"/>
      <c r="B26" s="626"/>
      <c r="C26" s="627"/>
      <c r="D26" s="628"/>
    </row>
    <row r="27" spans="1:4" ht="20.25" customHeight="1" x14ac:dyDescent="0.2">
      <c r="A27" s="625"/>
      <c r="B27" s="626"/>
      <c r="C27" s="627"/>
      <c r="D27" s="628"/>
    </row>
    <row r="28" spans="1:4" ht="20.25" customHeight="1" x14ac:dyDescent="0.2">
      <c r="A28" s="625"/>
      <c r="B28" s="626"/>
      <c r="C28" s="627"/>
      <c r="D28" s="628"/>
    </row>
    <row r="29" spans="1:4" ht="20.25" customHeight="1" x14ac:dyDescent="0.2">
      <c r="A29" s="625"/>
      <c r="B29" s="626"/>
      <c r="C29" s="627"/>
      <c r="D29" s="628"/>
    </row>
    <row r="30" spans="1:4" ht="20.25" customHeight="1" x14ac:dyDescent="0.2">
      <c r="A30" s="625"/>
      <c r="B30" s="626"/>
      <c r="C30" s="627"/>
      <c r="D30" s="628"/>
    </row>
    <row r="31" spans="1:4" ht="20.25" customHeight="1" x14ac:dyDescent="0.2">
      <c r="A31" s="625"/>
      <c r="B31" s="626"/>
      <c r="C31" s="627"/>
      <c r="D31" s="628"/>
    </row>
    <row r="32" spans="1:4" ht="20.25" customHeight="1" x14ac:dyDescent="0.2">
      <c r="A32" s="625"/>
      <c r="B32" s="626"/>
      <c r="C32" s="627"/>
      <c r="D32" s="628"/>
    </row>
    <row r="33" spans="1:4" ht="20.25" customHeight="1" x14ac:dyDescent="0.2">
      <c r="A33" s="625"/>
      <c r="B33" s="626"/>
      <c r="C33" s="627"/>
      <c r="D33" s="628"/>
    </row>
    <row r="34" spans="1:4" ht="20.25" customHeight="1" x14ac:dyDescent="0.2">
      <c r="A34" s="625"/>
      <c r="B34" s="626"/>
      <c r="C34" s="627"/>
      <c r="D34" s="628"/>
    </row>
    <row r="35" spans="1:4" ht="20.25" customHeight="1" x14ac:dyDescent="0.2">
      <c r="A35" s="625"/>
      <c r="B35" s="626"/>
      <c r="C35" s="627"/>
      <c r="D35" s="628"/>
    </row>
    <row r="36" spans="1:4" ht="20.25" customHeight="1" x14ac:dyDescent="0.2">
      <c r="A36" s="625"/>
      <c r="B36" s="626"/>
      <c r="C36" s="627"/>
      <c r="D36" s="628"/>
    </row>
    <row r="37" spans="1:4" ht="21" customHeight="1" x14ac:dyDescent="0.2">
      <c r="A37" s="625"/>
      <c r="B37" s="626"/>
      <c r="C37" s="627"/>
      <c r="D37" s="628"/>
    </row>
    <row r="38" spans="1:4" ht="20.25" customHeight="1" x14ac:dyDescent="0.2">
      <c r="A38" s="629"/>
      <c r="B38" s="630"/>
      <c r="C38" s="631"/>
      <c r="D38" s="632"/>
    </row>
    <row r="39" spans="1:4" ht="9" customHeight="1" thickBot="1" x14ac:dyDescent="0.25">
      <c r="A39" s="633"/>
      <c r="C39" s="634"/>
    </row>
    <row r="40" spans="1:4" s="637" customFormat="1" ht="23.25" customHeight="1" thickBot="1" x14ac:dyDescent="0.25">
      <c r="A40" s="1137" t="s">
        <v>78</v>
      </c>
      <c r="B40" s="1138"/>
      <c r="C40" s="635">
        <f>SUM(C7:C38)</f>
        <v>0</v>
      </c>
      <c r="D40" s="636">
        <v>2000</v>
      </c>
    </row>
  </sheetData>
  <sheetProtection sheet="1"/>
  <protectedRanges>
    <protectedRange sqref="A7:D38" name="Bereich1"/>
  </protectedRanges>
  <customSheetViews>
    <customSheetView guid="{B919D2EB-D122-4E25-8E52-25BE88B69D9E}" scale="90" showGridLines="0" zeroValues="0">
      <selection activeCell="B11" sqref="B11"/>
      <pageMargins left="0.53" right="0.23" top="0.39370078740157483" bottom="0.23" header="0.31496062992125984" footer="0.15748031496062992"/>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2">
    <mergeCell ref="A40:B40"/>
    <mergeCell ref="C4:D4"/>
  </mergeCells>
  <phoneticPr fontId="16" type="noConversion"/>
  <pageMargins left="0.51181102362204722" right="0.23622047244094491" top="0.39370078740157483" bottom="0.23622047244094491" header="0.31496062992125984" footer="0.15748031496062992"/>
  <pageSetup paperSize="9" orientation="portrait" blackAndWhite="1" r:id="rId2"/>
  <headerFooter alignWithMargins="0">
    <oddFooter>&amp;C&amp;8(C) Lerch Treuhand AG, Itingen</oddFoot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521C1-DAD8-48D2-8159-1A1687DFA50B}">
  <sheetPr codeName="Tabelle23">
    <tabColor indexed="10"/>
  </sheetPr>
  <dimension ref="A1:D40"/>
  <sheetViews>
    <sheetView showGridLines="0" showZeros="0" zoomScale="90" workbookViewId="0">
      <selection activeCell="H6" sqref="H6"/>
    </sheetView>
  </sheetViews>
  <sheetFormatPr baseColWidth="10" defaultRowHeight="12.75" x14ac:dyDescent="0.2"/>
  <cols>
    <col min="1" max="1" width="32.42578125" style="607" customWidth="1"/>
    <col min="2" max="2" width="37.85546875" style="607" customWidth="1"/>
    <col min="3" max="3" width="15.7109375" style="607" customWidth="1"/>
    <col min="4" max="4" width="10.85546875" style="607" customWidth="1"/>
    <col min="5" max="16384" width="11.42578125" style="607"/>
  </cols>
  <sheetData>
    <row r="1" spans="1:4" ht="23.25" x14ac:dyDescent="0.35">
      <c r="A1" s="761">
        <f>DECKBLATT!B14</f>
        <v>0</v>
      </c>
    </row>
    <row r="2" spans="1:4" ht="16.5" customHeight="1" x14ac:dyDescent="0.35">
      <c r="B2" s="608"/>
      <c r="C2" s="608"/>
    </row>
    <row r="3" spans="1:4" ht="18.75" customHeight="1" x14ac:dyDescent="0.3">
      <c r="A3" s="609" t="s">
        <v>436</v>
      </c>
      <c r="D3" s="610"/>
    </row>
    <row r="4" spans="1:4" ht="33" customHeight="1" x14ac:dyDescent="0.4">
      <c r="A4" s="611" t="s">
        <v>447</v>
      </c>
      <c r="C4" s="1139">
        <f>DECKBLATT!B11</f>
        <v>46022</v>
      </c>
      <c r="D4" s="1139"/>
    </row>
    <row r="5" spans="1:4" ht="12" customHeight="1" x14ac:dyDescent="0.2">
      <c r="A5" s="612"/>
    </row>
    <row r="6" spans="1:4" s="616" customFormat="1" ht="24.75" customHeight="1" thickBot="1" x14ac:dyDescent="0.25">
      <c r="A6" s="639" t="s">
        <v>86</v>
      </c>
      <c r="B6" s="639" t="s">
        <v>87</v>
      </c>
      <c r="C6" s="640" t="s">
        <v>76</v>
      </c>
      <c r="D6" s="641" t="s">
        <v>77</v>
      </c>
    </row>
    <row r="7" spans="1:4" ht="20.25" customHeight="1" thickBot="1" x14ac:dyDescent="0.25">
      <c r="A7" s="617"/>
      <c r="B7" s="618" t="s">
        <v>438</v>
      </c>
      <c r="C7" s="619">
        <f>Kreditoren!C40</f>
        <v>0</v>
      </c>
      <c r="D7" s="620"/>
    </row>
    <row r="8" spans="1:4" ht="20.25" customHeight="1" x14ac:dyDescent="0.2">
      <c r="A8" s="625"/>
      <c r="B8" s="626"/>
      <c r="C8" s="627"/>
      <c r="D8" s="628"/>
    </row>
    <row r="9" spans="1:4" ht="20.25" customHeight="1" x14ac:dyDescent="0.2">
      <c r="A9" s="625"/>
      <c r="B9" s="626"/>
      <c r="C9" s="627"/>
      <c r="D9" s="628"/>
    </row>
    <row r="10" spans="1:4" ht="20.25" customHeight="1" x14ac:dyDescent="0.2">
      <c r="A10" s="625"/>
      <c r="B10" s="626"/>
      <c r="C10" s="627"/>
      <c r="D10" s="628"/>
    </row>
    <row r="11" spans="1:4" ht="20.25" customHeight="1" x14ac:dyDescent="0.2">
      <c r="A11" s="625"/>
      <c r="B11" s="626"/>
      <c r="C11" s="627"/>
      <c r="D11" s="628"/>
    </row>
    <row r="12" spans="1:4" ht="20.25" customHeight="1" x14ac:dyDescent="0.2">
      <c r="A12" s="625"/>
      <c r="B12" s="626"/>
      <c r="C12" s="627"/>
      <c r="D12" s="628"/>
    </row>
    <row r="13" spans="1:4" ht="20.25" customHeight="1" x14ac:dyDescent="0.2">
      <c r="A13" s="625"/>
      <c r="B13" s="626"/>
      <c r="C13" s="627"/>
      <c r="D13" s="628"/>
    </row>
    <row r="14" spans="1:4" ht="20.25" customHeight="1" x14ac:dyDescent="0.2">
      <c r="A14" s="625"/>
      <c r="B14" s="626"/>
      <c r="C14" s="627"/>
      <c r="D14" s="628"/>
    </row>
    <row r="15" spans="1:4" ht="20.25" customHeight="1" x14ac:dyDescent="0.2">
      <c r="A15" s="625"/>
      <c r="B15" s="626"/>
      <c r="C15" s="627"/>
      <c r="D15" s="628"/>
    </row>
    <row r="16" spans="1:4" ht="20.25" customHeight="1" x14ac:dyDescent="0.2">
      <c r="A16" s="625"/>
      <c r="B16" s="626"/>
      <c r="C16" s="627"/>
      <c r="D16" s="628"/>
    </row>
    <row r="17" spans="1:4" ht="20.25" customHeight="1" x14ac:dyDescent="0.2">
      <c r="A17" s="625"/>
      <c r="B17" s="626"/>
      <c r="C17" s="627"/>
      <c r="D17" s="628"/>
    </row>
    <row r="18" spans="1:4" ht="20.25" customHeight="1" x14ac:dyDescent="0.2">
      <c r="A18" s="625"/>
      <c r="B18" s="626"/>
      <c r="C18" s="627"/>
      <c r="D18" s="628"/>
    </row>
    <row r="19" spans="1:4" ht="20.25" customHeight="1" x14ac:dyDescent="0.2">
      <c r="A19" s="625"/>
      <c r="B19" s="626"/>
      <c r="C19" s="627"/>
      <c r="D19" s="628"/>
    </row>
    <row r="20" spans="1:4" ht="20.25" customHeight="1" x14ac:dyDescent="0.2">
      <c r="A20" s="625"/>
      <c r="B20" s="626"/>
      <c r="C20" s="627"/>
      <c r="D20" s="628"/>
    </row>
    <row r="21" spans="1:4" ht="20.25" customHeight="1" x14ac:dyDescent="0.2">
      <c r="A21" s="625"/>
      <c r="B21" s="626"/>
      <c r="C21" s="627"/>
      <c r="D21" s="628"/>
    </row>
    <row r="22" spans="1:4" ht="20.25" customHeight="1" x14ac:dyDescent="0.2">
      <c r="A22" s="625"/>
      <c r="B22" s="626"/>
      <c r="C22" s="627"/>
      <c r="D22" s="628"/>
    </row>
    <row r="23" spans="1:4" ht="20.25" customHeight="1" x14ac:dyDescent="0.2">
      <c r="A23" s="625"/>
      <c r="B23" s="626"/>
      <c r="C23" s="627"/>
      <c r="D23" s="628"/>
    </row>
    <row r="24" spans="1:4" ht="20.25" customHeight="1" x14ac:dyDescent="0.2">
      <c r="A24" s="625"/>
      <c r="B24" s="626"/>
      <c r="C24" s="627"/>
      <c r="D24" s="628"/>
    </row>
    <row r="25" spans="1:4" ht="20.25" customHeight="1" x14ac:dyDescent="0.2">
      <c r="A25" s="625"/>
      <c r="B25" s="626"/>
      <c r="C25" s="627"/>
      <c r="D25" s="628"/>
    </row>
    <row r="26" spans="1:4" ht="20.25" customHeight="1" x14ac:dyDescent="0.2">
      <c r="A26" s="625"/>
      <c r="B26" s="626"/>
      <c r="C26" s="627"/>
      <c r="D26" s="628"/>
    </row>
    <row r="27" spans="1:4" ht="20.25" customHeight="1" x14ac:dyDescent="0.2">
      <c r="A27" s="625"/>
      <c r="B27" s="626"/>
      <c r="C27" s="627"/>
      <c r="D27" s="628"/>
    </row>
    <row r="28" spans="1:4" ht="20.25" customHeight="1" x14ac:dyDescent="0.2">
      <c r="A28" s="625"/>
      <c r="B28" s="626"/>
      <c r="C28" s="627"/>
      <c r="D28" s="628"/>
    </row>
    <row r="29" spans="1:4" ht="20.25" customHeight="1" x14ac:dyDescent="0.2">
      <c r="A29" s="625"/>
      <c r="B29" s="626"/>
      <c r="C29" s="627"/>
      <c r="D29" s="628"/>
    </row>
    <row r="30" spans="1:4" ht="20.25" customHeight="1" x14ac:dyDescent="0.2">
      <c r="A30" s="625"/>
      <c r="B30" s="626"/>
      <c r="C30" s="627"/>
      <c r="D30" s="628"/>
    </row>
    <row r="31" spans="1:4" ht="20.25" customHeight="1" x14ac:dyDescent="0.2">
      <c r="A31" s="625"/>
      <c r="B31" s="626"/>
      <c r="C31" s="627"/>
      <c r="D31" s="628"/>
    </row>
    <row r="32" spans="1:4" ht="20.25" customHeight="1" x14ac:dyDescent="0.2">
      <c r="A32" s="625"/>
      <c r="B32" s="626"/>
      <c r="C32" s="627"/>
      <c r="D32" s="628"/>
    </row>
    <row r="33" spans="1:4" ht="20.25" customHeight="1" x14ac:dyDescent="0.2">
      <c r="A33" s="625"/>
      <c r="B33" s="626"/>
      <c r="C33" s="627"/>
      <c r="D33" s="628"/>
    </row>
    <row r="34" spans="1:4" ht="20.25" customHeight="1" x14ac:dyDescent="0.2">
      <c r="A34" s="625"/>
      <c r="B34" s="626"/>
      <c r="C34" s="627"/>
      <c r="D34" s="628"/>
    </row>
    <row r="35" spans="1:4" ht="20.25" customHeight="1" x14ac:dyDescent="0.2">
      <c r="A35" s="625"/>
      <c r="B35" s="626"/>
      <c r="C35" s="627"/>
      <c r="D35" s="628"/>
    </row>
    <row r="36" spans="1:4" ht="20.25" customHeight="1" x14ac:dyDescent="0.2">
      <c r="A36" s="625"/>
      <c r="B36" s="626"/>
      <c r="C36" s="627"/>
      <c r="D36" s="628"/>
    </row>
    <row r="37" spans="1:4" ht="21" customHeight="1" x14ac:dyDescent="0.2">
      <c r="A37" s="625"/>
      <c r="B37" s="626"/>
      <c r="C37" s="627"/>
      <c r="D37" s="628"/>
    </row>
    <row r="38" spans="1:4" ht="20.25" customHeight="1" x14ac:dyDescent="0.2">
      <c r="A38" s="629"/>
      <c r="B38" s="630"/>
      <c r="C38" s="631"/>
      <c r="D38" s="632"/>
    </row>
    <row r="39" spans="1:4" ht="11.25" customHeight="1" thickBot="1" x14ac:dyDescent="0.25">
      <c r="A39" s="633"/>
      <c r="C39" s="634"/>
    </row>
    <row r="40" spans="1:4" s="637" customFormat="1" ht="23.25" customHeight="1" thickBot="1" x14ac:dyDescent="0.25">
      <c r="A40" s="1137" t="s">
        <v>437</v>
      </c>
      <c r="B40" s="1138"/>
      <c r="C40" s="635">
        <f>SUM(C7:C38)</f>
        <v>0</v>
      </c>
      <c r="D40" s="636">
        <v>2000</v>
      </c>
    </row>
  </sheetData>
  <sheetProtection sheet="1"/>
  <protectedRanges>
    <protectedRange sqref="A8:D38" name="Bereich1"/>
  </protectedRanges>
  <customSheetViews>
    <customSheetView guid="{B919D2EB-D122-4E25-8E52-25BE88B69D9E}" scale="90" showGridLines="0" zeroValues="0" topLeftCell="A23">
      <selection activeCell="D38" sqref="D8:D38"/>
      <pageMargins left="0.53" right="0.23" top="0.39370078740157483" bottom="0.23" header="0.31496062992125984" footer="0.15748031496062992"/>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2">
    <mergeCell ref="A40:B40"/>
    <mergeCell ref="C4:D4"/>
  </mergeCells>
  <phoneticPr fontId="16" type="noConversion"/>
  <pageMargins left="0.51181102362204722" right="0.23622047244094491" top="0.39370078740157483" bottom="0.23622047244094491" header="0.31496062992125984" footer="0.15748031496062992"/>
  <pageSetup paperSize="9" orientation="portrait" blackAndWhite="1" r:id="rId2"/>
  <headerFooter alignWithMargins="0">
    <oddFooter>&amp;C&amp;8(C) Lerch Treuhand AG, Itingen</oddFooter>
  </headerFooter>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3A4A5-33D9-41EA-AA54-DC3265B643A7}">
  <sheetPr codeName="Tabelle12">
    <tabColor indexed="10"/>
  </sheetPr>
  <dimension ref="A1:G40"/>
  <sheetViews>
    <sheetView showGridLines="0" showZeros="0" zoomScale="90" workbookViewId="0">
      <selection activeCell="I13" sqref="I13"/>
    </sheetView>
  </sheetViews>
  <sheetFormatPr baseColWidth="10" defaultRowHeight="12.75" x14ac:dyDescent="0.2"/>
  <cols>
    <col min="1" max="1" width="12.85546875" customWidth="1"/>
    <col min="2" max="2" width="17.140625" customWidth="1"/>
    <col min="3" max="3" width="7.140625" customWidth="1"/>
    <col min="4" max="4" width="14" customWidth="1"/>
    <col min="5" max="5" width="15.140625" customWidth="1"/>
    <col min="6" max="7" width="15.42578125" customWidth="1"/>
    <col min="8" max="8" width="15" customWidth="1"/>
  </cols>
  <sheetData>
    <row r="1" spans="1:7" ht="21.75" customHeight="1" x14ac:dyDescent="0.35">
      <c r="A1" s="760">
        <f>DECKBLATT!B14</f>
        <v>0</v>
      </c>
      <c r="B1" s="2"/>
      <c r="C1" s="2"/>
      <c r="D1" s="2"/>
    </row>
    <row r="2" spans="1:7" ht="28.5" customHeight="1" x14ac:dyDescent="0.35">
      <c r="B2" s="211"/>
      <c r="C2" s="211"/>
      <c r="D2" s="211"/>
      <c r="E2" s="211"/>
      <c r="G2" s="15"/>
    </row>
    <row r="3" spans="1:7" ht="18" x14ac:dyDescent="0.25">
      <c r="A3" s="5"/>
      <c r="B3" s="5"/>
      <c r="C3" s="5"/>
      <c r="D3" s="5"/>
    </row>
    <row r="4" spans="1:7" ht="14.25" customHeight="1" x14ac:dyDescent="0.2">
      <c r="A4" s="6"/>
      <c r="B4" s="6"/>
      <c r="C4" s="6"/>
      <c r="D4" s="6"/>
    </row>
    <row r="5" spans="1:7" ht="26.25" x14ac:dyDescent="0.4">
      <c r="A5" s="539" t="s">
        <v>443</v>
      </c>
      <c r="B5" s="5"/>
      <c r="C5" s="5"/>
      <c r="D5" s="5"/>
      <c r="F5" s="988">
        <f>DECKBLATT!B11</f>
        <v>46022</v>
      </c>
      <c r="G5" s="988"/>
    </row>
    <row r="6" spans="1:7" x14ac:dyDescent="0.2">
      <c r="A6" s="6"/>
      <c r="B6" s="6"/>
      <c r="C6" s="6"/>
      <c r="D6" s="6"/>
    </row>
    <row r="7" spans="1:7" ht="20.25" customHeight="1" x14ac:dyDescent="0.2">
      <c r="A7" s="1158" t="s">
        <v>88</v>
      </c>
      <c r="B7" s="1159"/>
      <c r="C7" s="1156" t="s">
        <v>93</v>
      </c>
      <c r="D7" s="1156" t="s">
        <v>89</v>
      </c>
      <c r="E7" s="1156" t="s">
        <v>90</v>
      </c>
      <c r="F7" s="1156" t="s">
        <v>91</v>
      </c>
      <c r="G7" s="1156" t="s">
        <v>92</v>
      </c>
    </row>
    <row r="8" spans="1:7" ht="21" customHeight="1" x14ac:dyDescent="0.2">
      <c r="A8" s="1160"/>
      <c r="B8" s="1161"/>
      <c r="C8" s="1157"/>
      <c r="D8" s="1157"/>
      <c r="E8" s="1157"/>
      <c r="F8" s="1157"/>
      <c r="G8" s="1157"/>
    </row>
    <row r="9" spans="1:7" s="51" customFormat="1" ht="21" customHeight="1" thickBot="1" x14ac:dyDescent="0.25">
      <c r="A9" s="577"/>
      <c r="B9" s="577"/>
      <c r="C9" s="577"/>
      <c r="D9" s="577"/>
      <c r="E9" s="577"/>
      <c r="F9" s="577"/>
      <c r="G9" s="578"/>
    </row>
    <row r="10" spans="1:7" ht="15.75" thickBot="1" x14ac:dyDescent="0.25">
      <c r="A10" s="1154" t="s">
        <v>439</v>
      </c>
      <c r="B10" s="1155"/>
      <c r="C10" s="584"/>
      <c r="D10" s="584"/>
      <c r="E10" s="584"/>
      <c r="F10" s="584"/>
      <c r="G10" s="585"/>
    </row>
    <row r="11" spans="1:7" ht="6" customHeight="1" x14ac:dyDescent="0.2">
      <c r="A11" s="586"/>
      <c r="B11" s="561"/>
      <c r="C11" s="577"/>
      <c r="D11" s="577"/>
      <c r="E11" s="577"/>
      <c r="F11" s="577"/>
      <c r="G11" s="587"/>
    </row>
    <row r="12" spans="1:7" s="18" customFormat="1" ht="20.25" customHeight="1" x14ac:dyDescent="0.2">
      <c r="A12" s="1147"/>
      <c r="B12" s="1148"/>
      <c r="C12" s="291"/>
      <c r="D12" s="292"/>
      <c r="E12" s="292"/>
      <c r="F12" s="292"/>
      <c r="G12" s="588">
        <f>D12+E12-F12</f>
        <v>0</v>
      </c>
    </row>
    <row r="13" spans="1:7" s="18" customFormat="1" ht="20.25" customHeight="1" x14ac:dyDescent="0.2">
      <c r="A13" s="1152"/>
      <c r="B13" s="1153"/>
      <c r="C13" s="293"/>
      <c r="D13" s="294"/>
      <c r="E13" s="294"/>
      <c r="F13" s="294"/>
      <c r="G13" s="589">
        <f>D13+E13-F13</f>
        <v>0</v>
      </c>
    </row>
    <row r="14" spans="1:7" s="18" customFormat="1" ht="20.25" customHeight="1" thickBot="1" x14ac:dyDescent="0.25">
      <c r="A14" s="1149"/>
      <c r="B14" s="1150"/>
      <c r="C14" s="590"/>
      <c r="D14" s="591"/>
      <c r="E14" s="591"/>
      <c r="F14" s="591"/>
      <c r="G14" s="592">
        <f>D14+E14-F14</f>
        <v>0</v>
      </c>
    </row>
    <row r="15" spans="1:7" s="18" customFormat="1" ht="20.25" customHeight="1" thickBot="1" x14ac:dyDescent="0.25">
      <c r="C15" s="122"/>
      <c r="D15" s="123"/>
      <c r="E15" s="123"/>
      <c r="F15" s="123"/>
      <c r="G15" s="184"/>
    </row>
    <row r="16" spans="1:7" s="18" customFormat="1" ht="15.75" customHeight="1" thickBot="1" x14ac:dyDescent="0.25">
      <c r="A16" s="1154" t="s">
        <v>440</v>
      </c>
      <c r="B16" s="1155"/>
      <c r="C16" s="593"/>
      <c r="D16" s="594"/>
      <c r="E16" s="594"/>
      <c r="F16" s="594"/>
      <c r="G16" s="595"/>
    </row>
    <row r="17" spans="1:7" s="18" customFormat="1" ht="6" customHeight="1" x14ac:dyDescent="0.2">
      <c r="A17" s="586"/>
      <c r="B17" s="561"/>
      <c r="C17" s="122"/>
      <c r="D17" s="123"/>
      <c r="E17" s="123"/>
      <c r="F17" s="123"/>
      <c r="G17" s="596"/>
    </row>
    <row r="18" spans="1:7" s="18" customFormat="1" ht="20.25" customHeight="1" x14ac:dyDescent="0.2">
      <c r="A18" s="1147"/>
      <c r="B18" s="1148"/>
      <c r="C18" s="291"/>
      <c r="D18" s="292"/>
      <c r="E18" s="292"/>
      <c r="F18" s="292"/>
      <c r="G18" s="588">
        <f t="shared" ref="G18:G35" si="0">(D18+E18-F18)</f>
        <v>0</v>
      </c>
    </row>
    <row r="19" spans="1:7" s="18" customFormat="1" ht="20.25" customHeight="1" x14ac:dyDescent="0.2">
      <c r="A19" s="1152"/>
      <c r="B19" s="1153"/>
      <c r="C19" s="293"/>
      <c r="D19" s="294"/>
      <c r="E19" s="294"/>
      <c r="F19" s="294"/>
      <c r="G19" s="589">
        <f t="shared" si="0"/>
        <v>0</v>
      </c>
    </row>
    <row r="20" spans="1:7" s="18" customFormat="1" ht="20.25" customHeight="1" x14ac:dyDescent="0.2">
      <c r="A20" s="1152"/>
      <c r="B20" s="1153"/>
      <c r="C20" s="293"/>
      <c r="D20" s="294"/>
      <c r="E20" s="294"/>
      <c r="F20" s="294"/>
      <c r="G20" s="589">
        <f t="shared" si="0"/>
        <v>0</v>
      </c>
    </row>
    <row r="21" spans="1:7" s="18" customFormat="1" ht="20.25" customHeight="1" x14ac:dyDescent="0.2">
      <c r="A21" s="1152"/>
      <c r="B21" s="1153"/>
      <c r="C21" s="293"/>
      <c r="D21" s="294"/>
      <c r="E21" s="294"/>
      <c r="F21" s="294"/>
      <c r="G21" s="589">
        <f t="shared" si="0"/>
        <v>0</v>
      </c>
    </row>
    <row r="22" spans="1:7" s="18" customFormat="1" ht="20.25" customHeight="1" thickBot="1" x14ac:dyDescent="0.25">
      <c r="A22" s="1149"/>
      <c r="B22" s="1150"/>
      <c r="C22" s="590"/>
      <c r="D22" s="591"/>
      <c r="E22" s="591"/>
      <c r="F22" s="591"/>
      <c r="G22" s="592">
        <f t="shared" si="0"/>
        <v>0</v>
      </c>
    </row>
    <row r="23" spans="1:7" s="583" customFormat="1" ht="20.25" customHeight="1" thickBot="1" x14ac:dyDescent="0.25">
      <c r="A23" s="579"/>
      <c r="B23" s="579"/>
      <c r="C23" s="580"/>
      <c r="D23" s="581"/>
      <c r="E23" s="581"/>
      <c r="F23" s="581"/>
      <c r="G23" s="582"/>
    </row>
    <row r="24" spans="1:7" s="18" customFormat="1" ht="15.75" customHeight="1" thickBot="1" x14ac:dyDescent="0.25">
      <c r="A24" s="1154" t="s">
        <v>441</v>
      </c>
      <c r="B24" s="1162"/>
      <c r="C24" s="1162"/>
      <c r="D24" s="1155"/>
      <c r="E24" s="603"/>
      <c r="F24" s="597"/>
      <c r="G24" s="598"/>
    </row>
    <row r="25" spans="1:7" s="18" customFormat="1" ht="6" customHeight="1" x14ac:dyDescent="0.2">
      <c r="A25" s="599"/>
      <c r="B25" s="562"/>
      <c r="C25" s="214"/>
      <c r="D25" s="215"/>
      <c r="E25" s="215"/>
      <c r="F25" s="215"/>
      <c r="G25" s="600"/>
    </row>
    <row r="26" spans="1:7" s="18" customFormat="1" ht="20.25" customHeight="1" x14ac:dyDescent="0.2">
      <c r="A26" s="1147"/>
      <c r="B26" s="1148"/>
      <c r="C26" s="291"/>
      <c r="D26" s="292"/>
      <c r="E26" s="292"/>
      <c r="F26" s="292"/>
      <c r="G26" s="588">
        <f t="shared" si="0"/>
        <v>0</v>
      </c>
    </row>
    <row r="27" spans="1:7" s="18" customFormat="1" ht="20.25" customHeight="1" x14ac:dyDescent="0.2">
      <c r="A27" s="1152"/>
      <c r="B27" s="1153"/>
      <c r="C27" s="293"/>
      <c r="D27" s="294"/>
      <c r="E27" s="294"/>
      <c r="F27" s="294"/>
      <c r="G27" s="589">
        <f t="shared" si="0"/>
        <v>0</v>
      </c>
    </row>
    <row r="28" spans="1:7" s="18" customFormat="1" ht="20.25" customHeight="1" x14ac:dyDescent="0.2">
      <c r="A28" s="1152"/>
      <c r="B28" s="1153"/>
      <c r="C28" s="293"/>
      <c r="D28" s="294"/>
      <c r="E28" s="294"/>
      <c r="F28" s="294"/>
      <c r="G28" s="589">
        <f t="shared" si="0"/>
        <v>0</v>
      </c>
    </row>
    <row r="29" spans="1:7" s="18" customFormat="1" ht="20.25" customHeight="1" x14ac:dyDescent="0.2">
      <c r="A29" s="1152"/>
      <c r="B29" s="1153"/>
      <c r="C29" s="293"/>
      <c r="D29" s="294"/>
      <c r="E29" s="294"/>
      <c r="F29" s="294"/>
      <c r="G29" s="589">
        <f t="shared" si="0"/>
        <v>0</v>
      </c>
    </row>
    <row r="30" spans="1:7" s="18" customFormat="1" ht="20.25" customHeight="1" thickBot="1" x14ac:dyDescent="0.25">
      <c r="A30" s="1149"/>
      <c r="B30" s="1150"/>
      <c r="C30" s="590"/>
      <c r="D30" s="591"/>
      <c r="E30" s="591"/>
      <c r="F30" s="591"/>
      <c r="G30" s="592">
        <f t="shared" si="0"/>
        <v>0</v>
      </c>
    </row>
    <row r="31" spans="1:7" s="557" customFormat="1" ht="20.25" customHeight="1" thickBot="1" x14ac:dyDescent="0.25">
      <c r="A31" s="1151"/>
      <c r="B31" s="1151"/>
      <c r="C31" s="580"/>
      <c r="D31" s="581"/>
      <c r="E31" s="581"/>
      <c r="F31" s="581"/>
      <c r="G31" s="582"/>
    </row>
    <row r="32" spans="1:7" s="18" customFormat="1" ht="15.75" customHeight="1" thickBot="1" x14ac:dyDescent="0.25">
      <c r="A32" s="1154" t="s">
        <v>442</v>
      </c>
      <c r="B32" s="1155"/>
      <c r="C32" s="601"/>
      <c r="D32" s="602"/>
      <c r="E32" s="602"/>
      <c r="F32" s="602"/>
      <c r="G32" s="595"/>
    </row>
    <row r="33" spans="1:7" s="18" customFormat="1" ht="6" customHeight="1" x14ac:dyDescent="0.2">
      <c r="A33" s="586"/>
      <c r="B33" s="561"/>
      <c r="C33" s="124"/>
      <c r="D33" s="125"/>
      <c r="E33" s="125"/>
      <c r="F33" s="125"/>
      <c r="G33" s="596"/>
    </row>
    <row r="34" spans="1:7" s="18" customFormat="1" ht="21.75" customHeight="1" x14ac:dyDescent="0.2">
      <c r="A34" s="1147"/>
      <c r="B34" s="1148"/>
      <c r="C34" s="291"/>
      <c r="D34" s="292"/>
      <c r="E34" s="292"/>
      <c r="F34" s="292"/>
      <c r="G34" s="588">
        <f t="shared" si="0"/>
        <v>0</v>
      </c>
    </row>
    <row r="35" spans="1:7" s="18" customFormat="1" ht="21.75" customHeight="1" thickBot="1" x14ac:dyDescent="0.25">
      <c r="A35" s="1149"/>
      <c r="B35" s="1150"/>
      <c r="C35" s="590"/>
      <c r="D35" s="591"/>
      <c r="E35" s="591"/>
      <c r="F35" s="591"/>
      <c r="G35" s="592">
        <f t="shared" si="0"/>
        <v>0</v>
      </c>
    </row>
    <row r="36" spans="1:7" s="583" customFormat="1" ht="20.25" customHeight="1" thickBot="1" x14ac:dyDescent="0.25">
      <c r="A36" s="579"/>
      <c r="B36" s="579"/>
      <c r="C36" s="580"/>
      <c r="D36" s="581"/>
      <c r="E36" s="581"/>
      <c r="F36" s="581"/>
      <c r="G36" s="582"/>
    </row>
    <row r="37" spans="1:7" s="18" customFormat="1" ht="15.75" customHeight="1" thickBot="1" x14ac:dyDescent="0.25">
      <c r="A37" s="1154" t="s">
        <v>444</v>
      </c>
      <c r="B37" s="1155"/>
      <c r="C37" s="601"/>
      <c r="D37" s="602"/>
      <c r="E37" s="602"/>
      <c r="F37" s="602"/>
      <c r="G37" s="595"/>
    </row>
    <row r="38" spans="1:7" s="18" customFormat="1" ht="6" customHeight="1" x14ac:dyDescent="0.2">
      <c r="A38" s="586"/>
      <c r="B38" s="561"/>
      <c r="C38" s="124"/>
      <c r="D38" s="125"/>
      <c r="E38" s="125"/>
      <c r="F38" s="125"/>
      <c r="G38" s="596"/>
    </row>
    <row r="39" spans="1:7" s="18" customFormat="1" ht="21.75" customHeight="1" x14ac:dyDescent="0.2">
      <c r="A39" s="1147"/>
      <c r="B39" s="1148"/>
      <c r="C39" s="291"/>
      <c r="D39" s="292"/>
      <c r="E39" s="292"/>
      <c r="F39" s="292"/>
      <c r="G39" s="588">
        <f>(D39+E39-F39)</f>
        <v>0</v>
      </c>
    </row>
    <row r="40" spans="1:7" s="18" customFormat="1" ht="21.75" customHeight="1" thickBot="1" x14ac:dyDescent="0.25">
      <c r="A40" s="1149"/>
      <c r="B40" s="1150"/>
      <c r="C40" s="590"/>
      <c r="D40" s="591"/>
      <c r="E40" s="591"/>
      <c r="F40" s="591"/>
      <c r="G40" s="592">
        <f>(D40+E40-F40)</f>
        <v>0</v>
      </c>
    </row>
  </sheetData>
  <sheetProtection sheet="1"/>
  <customSheetViews>
    <customSheetView guid="{B919D2EB-D122-4E25-8E52-25BE88B69D9E}" scale="90" showPageBreaks="1" showGridLines="0" zeroValues="0" printArea="1" topLeftCell="A10">
      <selection activeCell="A15" sqref="A15:IV15"/>
      <pageMargins left="0.41" right="0.39370078740157483" top="0.39370078740157483" bottom="0.15748031496062992" header="0.39370078740157483" footer="0.1968503937007874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30">
    <mergeCell ref="A12:B12"/>
    <mergeCell ref="A14:B14"/>
    <mergeCell ref="A16:B16"/>
    <mergeCell ref="A18:B18"/>
    <mergeCell ref="F5:G5"/>
    <mergeCell ref="F7:F8"/>
    <mergeCell ref="G7:G8"/>
    <mergeCell ref="A10:B10"/>
    <mergeCell ref="D7:D8"/>
    <mergeCell ref="C7:C8"/>
    <mergeCell ref="E7:E8"/>
    <mergeCell ref="A7:B8"/>
    <mergeCell ref="A27:B27"/>
    <mergeCell ref="A28:B28"/>
    <mergeCell ref="A29:B29"/>
    <mergeCell ref="A24:D24"/>
    <mergeCell ref="A19:B19"/>
    <mergeCell ref="A20:B20"/>
    <mergeCell ref="A22:B22"/>
    <mergeCell ref="A26:B26"/>
    <mergeCell ref="A39:B39"/>
    <mergeCell ref="A40:B40"/>
    <mergeCell ref="A31:B31"/>
    <mergeCell ref="A13:B13"/>
    <mergeCell ref="A30:B30"/>
    <mergeCell ref="A32:B32"/>
    <mergeCell ref="A34:B34"/>
    <mergeCell ref="A35:B35"/>
    <mergeCell ref="A37:B37"/>
    <mergeCell ref="A21:B21"/>
  </mergeCells>
  <phoneticPr fontId="16" type="noConversion"/>
  <pageMargins left="0.39370078740157483" right="0.39370078740157483" top="0.39370078740157483" bottom="0.15748031496062992" header="0.39370078740157483" footer="0.19685039370078741"/>
  <pageSetup paperSize="9" orientation="portrait" blackAndWhite="1" r:id="rId2"/>
  <headerFooter alignWithMargins="0">
    <oddFooter>&amp;C&amp;8(C) Lerch Treuhand AG, Itingen</oddFoot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0BAEF-8333-47EC-9F0D-091C78F46725}">
  <sheetPr codeName="Tabelle13">
    <tabColor indexed="10"/>
  </sheetPr>
  <dimension ref="A1:O47"/>
  <sheetViews>
    <sheetView showGridLines="0" showZeros="0" zoomScale="90" workbookViewId="0">
      <selection activeCell="G30" sqref="G30:L30"/>
    </sheetView>
  </sheetViews>
  <sheetFormatPr baseColWidth="10" defaultRowHeight="12.75" x14ac:dyDescent="0.2"/>
  <cols>
    <col min="1" max="1" width="17.7109375" customWidth="1"/>
    <col min="2" max="2" width="5.5703125" style="16" customWidth="1"/>
    <col min="3" max="3" width="5.5703125" customWidth="1"/>
    <col min="4" max="4" width="4" style="16" customWidth="1"/>
    <col min="5" max="5" width="6" bestFit="1" customWidth="1"/>
    <col min="6" max="6" width="10.28515625" customWidth="1"/>
    <col min="7" max="7" width="17.7109375" customWidth="1"/>
    <col min="8" max="8" width="5.5703125" style="40" customWidth="1"/>
    <col min="9" max="9" width="5.5703125" customWidth="1"/>
    <col min="10" max="10" width="4" style="41" customWidth="1"/>
    <col min="11" max="11" width="6" bestFit="1" customWidth="1"/>
    <col min="12" max="12" width="10.28515625" customWidth="1"/>
    <col min="13" max="13" width="3.85546875" customWidth="1"/>
    <col min="15" max="15" width="135.85546875" customWidth="1"/>
  </cols>
  <sheetData>
    <row r="1" spans="1:13" ht="23.25" x14ac:dyDescent="0.35">
      <c r="A1" s="760">
        <f>DECKBLATT!B14</f>
        <v>0</v>
      </c>
      <c r="B1" s="17"/>
    </row>
    <row r="2" spans="1:13" ht="8.25" customHeight="1" x14ac:dyDescent="0.25">
      <c r="B2" s="33"/>
    </row>
    <row r="3" spans="1:13" ht="18" x14ac:dyDescent="0.25">
      <c r="B3" s="88"/>
      <c r="C3" s="88"/>
      <c r="J3" s="15"/>
      <c r="L3" s="15"/>
    </row>
    <row r="4" spans="1:13" ht="26.25" customHeight="1" x14ac:dyDescent="0.4">
      <c r="A4" s="539" t="s">
        <v>409</v>
      </c>
      <c r="B4" s="34"/>
      <c r="H4" s="988">
        <f>DECKBLATT!B11</f>
        <v>46022</v>
      </c>
      <c r="I4" s="988"/>
      <c r="J4" s="988"/>
      <c r="K4" s="988"/>
      <c r="L4" s="988"/>
    </row>
    <row r="5" spans="1:13" ht="14.25" x14ac:dyDescent="0.2">
      <c r="A5" s="22"/>
      <c r="B5" s="35"/>
    </row>
    <row r="6" spans="1:13" x14ac:dyDescent="0.2">
      <c r="A6" s="102" t="s">
        <v>330</v>
      </c>
      <c r="B6" s="36"/>
    </row>
    <row r="7" spans="1:13" x14ac:dyDescent="0.2">
      <c r="A7" s="8" t="s">
        <v>456</v>
      </c>
      <c r="B7" s="37"/>
    </row>
    <row r="8" spans="1:13" ht="13.5" thickBot="1" x14ac:dyDescent="0.25">
      <c r="A8" s="10"/>
      <c r="B8" s="38"/>
    </row>
    <row r="9" spans="1:13" ht="18.75" customHeight="1" thickBot="1" x14ac:dyDescent="0.25">
      <c r="A9" s="1173" t="s">
        <v>0</v>
      </c>
      <c r="B9" s="1174"/>
      <c r="C9" s="1179" t="s">
        <v>1</v>
      </c>
      <c r="D9" s="1180"/>
      <c r="E9" s="182" t="s">
        <v>2</v>
      </c>
      <c r="F9" s="182" t="s">
        <v>160</v>
      </c>
      <c r="G9" s="1173" t="s">
        <v>0</v>
      </c>
      <c r="H9" s="1174"/>
      <c r="I9" s="1179" t="s">
        <v>1</v>
      </c>
      <c r="J9" s="1180"/>
      <c r="K9" s="182" t="s">
        <v>2</v>
      </c>
      <c r="L9" s="209" t="s">
        <v>342</v>
      </c>
      <c r="M9" s="217" t="s">
        <v>322</v>
      </c>
    </row>
    <row r="10" spans="1:13" ht="16.5" customHeight="1" x14ac:dyDescent="0.2">
      <c r="A10" s="1164" t="s">
        <v>4</v>
      </c>
      <c r="B10" s="1165"/>
      <c r="C10" s="1165"/>
      <c r="D10" s="1165"/>
      <c r="E10" s="1165"/>
      <c r="F10" s="1166"/>
      <c r="G10" s="1164" t="s">
        <v>96</v>
      </c>
      <c r="H10" s="1165"/>
      <c r="I10" s="1165"/>
      <c r="J10" s="1165"/>
      <c r="K10" s="1166"/>
      <c r="L10" s="428">
        <f>(F47)</f>
        <v>0</v>
      </c>
    </row>
    <row r="11" spans="1:13" ht="17.25" customHeight="1" x14ac:dyDescent="0.2">
      <c r="A11" s="295" t="s">
        <v>104</v>
      </c>
      <c r="B11" s="236">
        <v>4000</v>
      </c>
      <c r="C11" s="296"/>
      <c r="D11" s="236" t="s">
        <v>5</v>
      </c>
      <c r="E11" s="297">
        <v>57</v>
      </c>
      <c r="F11" s="424">
        <f>ROUNDUP(C11*E11,0)</f>
        <v>0</v>
      </c>
      <c r="G11" s="1165" t="s">
        <v>97</v>
      </c>
      <c r="H11" s="1165"/>
      <c r="I11" s="1165"/>
      <c r="J11" s="1165"/>
      <c r="K11" s="1165"/>
      <c r="L11" s="1166"/>
    </row>
    <row r="12" spans="1:13" ht="17.25" customHeight="1" x14ac:dyDescent="0.2">
      <c r="A12" s="298" t="s">
        <v>105</v>
      </c>
      <c r="B12" s="238">
        <v>4000</v>
      </c>
      <c r="C12" s="299"/>
      <c r="D12" s="238" t="s">
        <v>5</v>
      </c>
      <c r="E12" s="300">
        <v>45</v>
      </c>
      <c r="F12" s="424">
        <f t="shared" ref="F12:F46" si="0">ROUNDUP(C12*E12,0)</f>
        <v>0</v>
      </c>
      <c r="G12" s="295" t="s">
        <v>128</v>
      </c>
      <c r="H12" s="325">
        <v>4100</v>
      </c>
      <c r="I12" s="309"/>
      <c r="J12" s="236" t="s">
        <v>5</v>
      </c>
      <c r="K12" s="297">
        <v>52</v>
      </c>
      <c r="L12" s="424">
        <f>ROUNDUP(I12*K12,0)</f>
        <v>0</v>
      </c>
    </row>
    <row r="13" spans="1:13" ht="17.25" customHeight="1" x14ac:dyDescent="0.2">
      <c r="A13" s="298" t="s">
        <v>106</v>
      </c>
      <c r="B13" s="238">
        <v>4000</v>
      </c>
      <c r="C13" s="299"/>
      <c r="D13" s="238" t="s">
        <v>5</v>
      </c>
      <c r="E13" s="300">
        <v>58</v>
      </c>
      <c r="F13" s="424">
        <f t="shared" si="0"/>
        <v>0</v>
      </c>
      <c r="G13" s="298" t="s">
        <v>129</v>
      </c>
      <c r="H13" s="327">
        <v>4100</v>
      </c>
      <c r="I13" s="311"/>
      <c r="J13" s="238" t="s">
        <v>5</v>
      </c>
      <c r="K13" s="300">
        <v>90</v>
      </c>
      <c r="L13" s="424">
        <f t="shared" ref="L13:L44" si="1">ROUNDUP(I13*K13,0)</f>
        <v>0</v>
      </c>
    </row>
    <row r="14" spans="1:13" ht="17.25" customHeight="1" x14ac:dyDescent="0.2">
      <c r="A14" s="298" t="s">
        <v>392</v>
      </c>
      <c r="B14" s="238"/>
      <c r="C14" s="299"/>
      <c r="D14" s="238" t="s">
        <v>5</v>
      </c>
      <c r="E14" s="300">
        <v>37</v>
      </c>
      <c r="F14" s="424">
        <f t="shared" si="0"/>
        <v>0</v>
      </c>
      <c r="G14" s="298" t="s">
        <v>130</v>
      </c>
      <c r="H14" s="327">
        <v>4100</v>
      </c>
      <c r="I14" s="311"/>
      <c r="J14" s="238" t="s">
        <v>5</v>
      </c>
      <c r="K14" s="300">
        <v>5</v>
      </c>
      <c r="L14" s="424">
        <f t="shared" si="1"/>
        <v>0</v>
      </c>
    </row>
    <row r="15" spans="1:13" ht="17.25" customHeight="1" x14ac:dyDescent="0.2">
      <c r="A15" s="298" t="s">
        <v>107</v>
      </c>
      <c r="B15" s="238">
        <v>4010</v>
      </c>
      <c r="C15" s="299"/>
      <c r="D15" s="238" t="s">
        <v>5</v>
      </c>
      <c r="E15" s="300">
        <v>35</v>
      </c>
      <c r="F15" s="424">
        <f t="shared" si="0"/>
        <v>0</v>
      </c>
      <c r="G15" s="298" t="s">
        <v>547</v>
      </c>
      <c r="H15" s="327">
        <v>4100</v>
      </c>
      <c r="I15" s="311"/>
      <c r="J15" s="238" t="s">
        <v>5</v>
      </c>
      <c r="K15" s="300">
        <v>96</v>
      </c>
      <c r="L15" s="424">
        <f t="shared" si="1"/>
        <v>0</v>
      </c>
    </row>
    <row r="16" spans="1:13" ht="17.25" customHeight="1" x14ac:dyDescent="0.2">
      <c r="A16" s="298" t="s">
        <v>108</v>
      </c>
      <c r="B16" s="238">
        <v>4010</v>
      </c>
      <c r="C16" s="299"/>
      <c r="D16" s="238" t="s">
        <v>5</v>
      </c>
      <c r="E16" s="300">
        <v>30</v>
      </c>
      <c r="F16" s="424">
        <f t="shared" si="0"/>
        <v>0</v>
      </c>
      <c r="G16" s="312"/>
      <c r="H16" s="331"/>
      <c r="I16" s="314"/>
      <c r="J16" s="239"/>
      <c r="K16" s="315"/>
      <c r="L16" s="424">
        <f t="shared" si="1"/>
        <v>0</v>
      </c>
    </row>
    <row r="17" spans="1:15" ht="17.25" customHeight="1" thickBot="1" x14ac:dyDescent="0.25">
      <c r="A17" s="298" t="s">
        <v>109</v>
      </c>
      <c r="B17" s="238">
        <v>4010</v>
      </c>
      <c r="C17" s="299"/>
      <c r="D17" s="238" t="s">
        <v>5</v>
      </c>
      <c r="E17" s="300">
        <v>35</v>
      </c>
      <c r="F17" s="424">
        <f t="shared" si="0"/>
        <v>0</v>
      </c>
      <c r="G17" s="1167" t="s">
        <v>98</v>
      </c>
      <c r="H17" s="1167"/>
      <c r="I17" s="1167"/>
      <c r="J17" s="1167"/>
      <c r="K17" s="1167"/>
      <c r="L17" s="1167"/>
    </row>
    <row r="18" spans="1:15" ht="17.25" customHeight="1" thickBot="1" x14ac:dyDescent="0.25">
      <c r="A18" s="301"/>
      <c r="B18" s="302"/>
      <c r="C18" s="299"/>
      <c r="D18" s="303"/>
      <c r="E18" s="304"/>
      <c r="F18" s="424">
        <f t="shared" si="0"/>
        <v>0</v>
      </c>
      <c r="G18" s="316"/>
      <c r="H18" s="236">
        <v>4140</v>
      </c>
      <c r="I18" s="317"/>
      <c r="J18" s="236" t="s">
        <v>22</v>
      </c>
      <c r="K18" s="318"/>
      <c r="L18" s="424">
        <f t="shared" si="1"/>
        <v>0</v>
      </c>
      <c r="M18" s="216"/>
    </row>
    <row r="19" spans="1:15" ht="17.25" customHeight="1" thickBot="1" x14ac:dyDescent="0.25">
      <c r="A19" s="298" t="s">
        <v>110</v>
      </c>
      <c r="B19" s="238">
        <v>4020</v>
      </c>
      <c r="C19" s="299"/>
      <c r="D19" s="238" t="s">
        <v>5</v>
      </c>
      <c r="E19" s="300">
        <v>37</v>
      </c>
      <c r="F19" s="424">
        <f t="shared" si="0"/>
        <v>0</v>
      </c>
      <c r="G19" s="305"/>
      <c r="H19" s="327">
        <v>4140</v>
      </c>
      <c r="I19" s="740"/>
      <c r="J19" s="238" t="s">
        <v>22</v>
      </c>
      <c r="K19" s="304"/>
      <c r="L19" s="424">
        <f t="shared" si="1"/>
        <v>0</v>
      </c>
      <c r="M19" s="216"/>
    </row>
    <row r="20" spans="1:15" ht="17.25" customHeight="1" thickBot="1" x14ac:dyDescent="0.25">
      <c r="A20" s="298" t="s">
        <v>323</v>
      </c>
      <c r="B20" s="238">
        <v>4020</v>
      </c>
      <c r="C20" s="299"/>
      <c r="D20" s="238" t="s">
        <v>5</v>
      </c>
      <c r="E20" s="300">
        <v>55</v>
      </c>
      <c r="F20" s="424">
        <f t="shared" si="0"/>
        <v>0</v>
      </c>
      <c r="G20" s="312"/>
      <c r="H20" s="331">
        <v>4140</v>
      </c>
      <c r="I20" s="741"/>
      <c r="J20" s="239" t="s">
        <v>22</v>
      </c>
      <c r="K20" s="315"/>
      <c r="L20" s="424">
        <f t="shared" si="1"/>
        <v>0</v>
      </c>
      <c r="M20" s="216"/>
    </row>
    <row r="21" spans="1:15" ht="17.25" customHeight="1" thickBot="1" x14ac:dyDescent="0.25">
      <c r="A21" s="298" t="s">
        <v>324</v>
      </c>
      <c r="B21" s="238">
        <v>4020</v>
      </c>
      <c r="C21" s="299"/>
      <c r="D21" s="238" t="s">
        <v>5</v>
      </c>
      <c r="E21" s="300">
        <v>58</v>
      </c>
      <c r="F21" s="424">
        <f t="shared" si="0"/>
        <v>0</v>
      </c>
      <c r="G21" s="1167"/>
      <c r="H21" s="1167"/>
      <c r="I21" s="1167"/>
      <c r="J21" s="1167"/>
      <c r="K21" s="1167"/>
      <c r="L21" s="1167"/>
    </row>
    <row r="22" spans="1:15" ht="17.25" customHeight="1" thickBot="1" x14ac:dyDescent="0.25">
      <c r="A22" s="298" t="s">
        <v>470</v>
      </c>
      <c r="B22" s="238">
        <v>4020</v>
      </c>
      <c r="C22" s="299"/>
      <c r="D22" s="238" t="s">
        <v>94</v>
      </c>
      <c r="E22" s="300">
        <v>140</v>
      </c>
      <c r="F22" s="424">
        <f t="shared" si="0"/>
        <v>0</v>
      </c>
      <c r="G22" s="295" t="s">
        <v>131</v>
      </c>
      <c r="H22" s="325">
        <v>4230</v>
      </c>
      <c r="I22" s="309"/>
      <c r="J22" s="236" t="s">
        <v>22</v>
      </c>
      <c r="K22" s="297">
        <v>2.5</v>
      </c>
      <c r="L22" s="424">
        <f t="shared" si="1"/>
        <v>0</v>
      </c>
      <c r="M22" s="216"/>
    </row>
    <row r="23" spans="1:15" ht="17.25" customHeight="1" thickBot="1" x14ac:dyDescent="0.25">
      <c r="A23" s="460" t="s">
        <v>513</v>
      </c>
      <c r="B23" s="864">
        <v>4020</v>
      </c>
      <c r="C23" s="299"/>
      <c r="D23" s="461" t="s">
        <v>476</v>
      </c>
      <c r="E23" s="865">
        <v>190</v>
      </c>
      <c r="F23" s="424">
        <f t="shared" si="0"/>
        <v>0</v>
      </c>
      <c r="G23" s="298" t="s">
        <v>132</v>
      </c>
      <c r="H23" s="327">
        <v>4230</v>
      </c>
      <c r="I23" s="311"/>
      <c r="J23" s="238" t="s">
        <v>22</v>
      </c>
      <c r="K23" s="300">
        <v>2</v>
      </c>
      <c r="L23" s="424">
        <f t="shared" si="1"/>
        <v>0</v>
      </c>
      <c r="M23" s="216"/>
    </row>
    <row r="24" spans="1:15" ht="17.25" customHeight="1" thickBot="1" x14ac:dyDescent="0.25">
      <c r="A24" s="298" t="s">
        <v>112</v>
      </c>
      <c r="B24" s="238">
        <v>4130</v>
      </c>
      <c r="C24" s="299"/>
      <c r="D24" s="238" t="s">
        <v>5</v>
      </c>
      <c r="E24" s="300">
        <v>35</v>
      </c>
      <c r="F24" s="424">
        <f t="shared" si="0"/>
        <v>0</v>
      </c>
      <c r="G24" s="305"/>
      <c r="H24" s="327"/>
      <c r="I24" s="311"/>
      <c r="J24" s="238" t="s">
        <v>22</v>
      </c>
      <c r="K24" s="304"/>
      <c r="L24" s="424">
        <f t="shared" si="1"/>
        <v>0</v>
      </c>
      <c r="M24" s="216"/>
    </row>
    <row r="25" spans="1:15" ht="17.25" customHeight="1" thickBot="1" x14ac:dyDescent="0.25">
      <c r="A25" s="298" t="s">
        <v>113</v>
      </c>
      <c r="B25" s="238">
        <v>4210</v>
      </c>
      <c r="C25" s="299"/>
      <c r="D25" s="238" t="s">
        <v>5</v>
      </c>
      <c r="E25" s="300">
        <v>16</v>
      </c>
      <c r="F25" s="424">
        <f t="shared" si="0"/>
        <v>0</v>
      </c>
      <c r="G25" s="298" t="s">
        <v>133</v>
      </c>
      <c r="H25" s="327">
        <v>4230</v>
      </c>
      <c r="I25" s="311"/>
      <c r="J25" s="238" t="s">
        <v>99</v>
      </c>
      <c r="K25" s="300">
        <v>0.8</v>
      </c>
      <c r="L25" s="424">
        <f t="shared" si="1"/>
        <v>0</v>
      </c>
      <c r="M25" s="216"/>
    </row>
    <row r="26" spans="1:15" ht="17.25" customHeight="1" thickBot="1" x14ac:dyDescent="0.25">
      <c r="A26" s="298" t="s">
        <v>114</v>
      </c>
      <c r="B26" s="238">
        <v>4210</v>
      </c>
      <c r="C26" s="299"/>
      <c r="D26" s="238" t="s">
        <v>5</v>
      </c>
      <c r="E26" s="300">
        <v>16</v>
      </c>
      <c r="F26" s="424">
        <f t="shared" si="0"/>
        <v>0</v>
      </c>
      <c r="G26" s="298" t="s">
        <v>134</v>
      </c>
      <c r="H26" s="327">
        <v>4230</v>
      </c>
      <c r="I26" s="311"/>
      <c r="J26" s="238" t="s">
        <v>99</v>
      </c>
      <c r="K26" s="300">
        <v>22</v>
      </c>
      <c r="L26" s="424">
        <f t="shared" si="1"/>
        <v>0</v>
      </c>
      <c r="M26" s="216"/>
    </row>
    <row r="27" spans="1:15" ht="17.25" customHeight="1" thickBot="1" x14ac:dyDescent="0.25">
      <c r="A27" s="773" t="s">
        <v>111</v>
      </c>
      <c r="B27" s="238">
        <v>4210</v>
      </c>
      <c r="C27" s="299"/>
      <c r="D27" s="238" t="s">
        <v>5</v>
      </c>
      <c r="E27" s="774">
        <v>16</v>
      </c>
      <c r="F27" s="424">
        <f t="shared" si="0"/>
        <v>0</v>
      </c>
      <c r="G27" s="298" t="s">
        <v>376</v>
      </c>
      <c r="H27" s="327">
        <v>4230</v>
      </c>
      <c r="I27" s="311"/>
      <c r="J27" s="238" t="s">
        <v>99</v>
      </c>
      <c r="K27" s="300">
        <v>22</v>
      </c>
      <c r="L27" s="424">
        <f t="shared" si="1"/>
        <v>0</v>
      </c>
      <c r="M27" s="216"/>
    </row>
    <row r="28" spans="1:15" ht="17.25" customHeight="1" thickBot="1" x14ac:dyDescent="0.25">
      <c r="A28" s="773" t="s">
        <v>95</v>
      </c>
      <c r="B28" s="238">
        <v>4210</v>
      </c>
      <c r="C28" s="299"/>
      <c r="D28" s="238" t="s">
        <v>5</v>
      </c>
      <c r="E28" s="300">
        <v>5</v>
      </c>
      <c r="F28" s="424">
        <f t="shared" si="0"/>
        <v>0</v>
      </c>
      <c r="G28" s="305"/>
      <c r="H28" s="327"/>
      <c r="I28" s="311"/>
      <c r="J28" s="238"/>
      <c r="K28" s="304"/>
      <c r="L28" s="424">
        <f t="shared" si="1"/>
        <v>0</v>
      </c>
      <c r="M28" s="216"/>
    </row>
    <row r="29" spans="1:15" ht="17.25" customHeight="1" x14ac:dyDescent="0.2">
      <c r="A29" s="773" t="s">
        <v>474</v>
      </c>
      <c r="B29" s="775">
        <v>4210</v>
      </c>
      <c r="C29" s="776"/>
      <c r="D29" s="775" t="s">
        <v>5</v>
      </c>
      <c r="E29" s="777">
        <v>3</v>
      </c>
      <c r="F29" s="424">
        <f t="shared" si="0"/>
        <v>0</v>
      </c>
      <c r="G29" s="306" t="s">
        <v>135</v>
      </c>
      <c r="H29" s="331">
        <v>4240</v>
      </c>
      <c r="I29" s="314"/>
      <c r="J29" s="239" t="s">
        <v>100</v>
      </c>
      <c r="K29" s="307">
        <v>70</v>
      </c>
      <c r="L29" s="424">
        <f t="shared" si="1"/>
        <v>0</v>
      </c>
      <c r="N29" s="114"/>
    </row>
    <row r="30" spans="1:15" ht="17.25" customHeight="1" thickBot="1" x14ac:dyDescent="0.25">
      <c r="A30" s="1167"/>
      <c r="B30" s="1167"/>
      <c r="C30" s="1167"/>
      <c r="D30" s="1167"/>
      <c r="E30" s="1167"/>
      <c r="F30" s="1167"/>
      <c r="G30" s="1167" t="s">
        <v>101</v>
      </c>
      <c r="H30" s="1167"/>
      <c r="I30" s="1167"/>
      <c r="J30" s="1167"/>
      <c r="K30" s="1167"/>
      <c r="L30" s="1167"/>
    </row>
    <row r="31" spans="1:15" ht="17.25" customHeight="1" thickBot="1" x14ac:dyDescent="0.25">
      <c r="A31" s="295" t="s">
        <v>115</v>
      </c>
      <c r="B31" s="236">
        <v>4200</v>
      </c>
      <c r="C31" s="309"/>
      <c r="D31" s="236" t="s">
        <v>5</v>
      </c>
      <c r="E31" s="297">
        <v>20</v>
      </c>
      <c r="F31" s="424">
        <f t="shared" si="0"/>
        <v>0</v>
      </c>
      <c r="G31" s="320"/>
      <c r="H31" s="325">
        <v>4250</v>
      </c>
      <c r="I31" s="309"/>
      <c r="J31" s="236" t="s">
        <v>99</v>
      </c>
      <c r="K31" s="318"/>
      <c r="L31" s="424">
        <f t="shared" si="1"/>
        <v>0</v>
      </c>
      <c r="M31" s="216"/>
      <c r="O31" s="1163" t="s">
        <v>489</v>
      </c>
    </row>
    <row r="32" spans="1:15" ht="17.25" customHeight="1" thickBot="1" x14ac:dyDescent="0.25">
      <c r="A32" s="298" t="s">
        <v>116</v>
      </c>
      <c r="B32" s="238">
        <v>4200</v>
      </c>
      <c r="C32" s="311"/>
      <c r="D32" s="238" t="s">
        <v>5</v>
      </c>
      <c r="E32" s="300">
        <v>30</v>
      </c>
      <c r="F32" s="424">
        <f t="shared" si="0"/>
        <v>0</v>
      </c>
      <c r="G32" s="305"/>
      <c r="H32" s="327">
        <v>4250</v>
      </c>
      <c r="I32" s="311"/>
      <c r="J32" s="238" t="s">
        <v>99</v>
      </c>
      <c r="K32" s="304"/>
      <c r="L32" s="424">
        <f t="shared" si="1"/>
        <v>0</v>
      </c>
      <c r="M32" s="216"/>
      <c r="O32" s="1163"/>
    </row>
    <row r="33" spans="1:15" ht="17.25" customHeight="1" thickBot="1" x14ac:dyDescent="0.25">
      <c r="A33" s="298" t="s">
        <v>117</v>
      </c>
      <c r="B33" s="238">
        <v>4200</v>
      </c>
      <c r="C33" s="311"/>
      <c r="D33" s="238" t="s">
        <v>5</v>
      </c>
      <c r="E33" s="300">
        <v>20</v>
      </c>
      <c r="F33" s="424">
        <f t="shared" si="0"/>
        <v>0</v>
      </c>
      <c r="G33" s="305"/>
      <c r="H33" s="327">
        <v>4250</v>
      </c>
      <c r="I33" s="311"/>
      <c r="J33" s="238" t="s">
        <v>99</v>
      </c>
      <c r="K33" s="304"/>
      <c r="L33" s="424">
        <f t="shared" si="1"/>
        <v>0</v>
      </c>
      <c r="M33" s="216"/>
      <c r="O33" s="1163"/>
    </row>
    <row r="34" spans="1:15" ht="17.25" customHeight="1" thickBot="1" x14ac:dyDescent="0.25">
      <c r="A34" s="298" t="s">
        <v>118</v>
      </c>
      <c r="B34" s="238">
        <v>4200</v>
      </c>
      <c r="C34" s="311"/>
      <c r="D34" s="238" t="s">
        <v>5</v>
      </c>
      <c r="E34" s="300">
        <v>20</v>
      </c>
      <c r="F34" s="424">
        <f t="shared" si="0"/>
        <v>0</v>
      </c>
      <c r="G34" s="312"/>
      <c r="H34" s="331">
        <v>4250</v>
      </c>
      <c r="I34" s="314"/>
      <c r="J34" s="239" t="s">
        <v>99</v>
      </c>
      <c r="K34" s="315"/>
      <c r="L34" s="424">
        <f t="shared" si="1"/>
        <v>0</v>
      </c>
      <c r="M34" s="216"/>
    </row>
    <row r="35" spans="1:15" ht="17.25" customHeight="1" x14ac:dyDescent="0.2">
      <c r="A35" s="298" t="s">
        <v>119</v>
      </c>
      <c r="B35" s="238">
        <v>4200</v>
      </c>
      <c r="C35" s="311"/>
      <c r="D35" s="238" t="s">
        <v>5</v>
      </c>
      <c r="E35" s="300">
        <v>20</v>
      </c>
      <c r="F35" s="424">
        <f t="shared" si="0"/>
        <v>0</v>
      </c>
      <c r="G35" s="1167" t="s">
        <v>102</v>
      </c>
      <c r="H35" s="1167"/>
      <c r="I35" s="1167"/>
      <c r="J35" s="1167"/>
      <c r="K35" s="1167"/>
      <c r="L35" s="1167"/>
    </row>
    <row r="36" spans="1:15" ht="17.25" customHeight="1" x14ac:dyDescent="0.2">
      <c r="A36" s="305"/>
      <c r="B36" s="238"/>
      <c r="C36" s="311"/>
      <c r="D36" s="303"/>
      <c r="E36" s="304"/>
      <c r="F36" s="424">
        <f t="shared" si="0"/>
        <v>0</v>
      </c>
      <c r="G36" s="295" t="s">
        <v>136</v>
      </c>
      <c r="H36" s="325">
        <v>4270</v>
      </c>
      <c r="I36" s="309"/>
      <c r="J36" s="236" t="s">
        <v>94</v>
      </c>
      <c r="K36" s="297">
        <v>120</v>
      </c>
      <c r="L36" s="424">
        <f t="shared" si="1"/>
        <v>0</v>
      </c>
    </row>
    <row r="37" spans="1:15" ht="17.25" customHeight="1" x14ac:dyDescent="0.2">
      <c r="A37" s="298" t="s">
        <v>120</v>
      </c>
      <c r="B37" s="238">
        <v>4200</v>
      </c>
      <c r="C37" s="311"/>
      <c r="D37" s="238" t="s">
        <v>5</v>
      </c>
      <c r="E37" s="300">
        <v>50</v>
      </c>
      <c r="F37" s="424">
        <f t="shared" si="0"/>
        <v>0</v>
      </c>
      <c r="G37" s="298" t="s">
        <v>137</v>
      </c>
      <c r="H37" s="327">
        <v>4270</v>
      </c>
      <c r="I37" s="311"/>
      <c r="J37" s="238" t="s">
        <v>94</v>
      </c>
      <c r="K37" s="300">
        <v>20</v>
      </c>
      <c r="L37" s="424">
        <f t="shared" si="1"/>
        <v>0</v>
      </c>
    </row>
    <row r="38" spans="1:15" ht="17.25" customHeight="1" x14ac:dyDescent="0.2">
      <c r="A38" s="298" t="s">
        <v>121</v>
      </c>
      <c r="B38" s="238">
        <v>4200</v>
      </c>
      <c r="C38" s="311"/>
      <c r="D38" s="238" t="s">
        <v>94</v>
      </c>
      <c r="E38" s="300">
        <v>57</v>
      </c>
      <c r="F38" s="424">
        <f t="shared" si="0"/>
        <v>0</v>
      </c>
      <c r="G38" s="298" t="s">
        <v>481</v>
      </c>
      <c r="H38" s="327">
        <v>4270</v>
      </c>
      <c r="I38" s="311"/>
      <c r="J38" s="238" t="s">
        <v>100</v>
      </c>
      <c r="K38" s="300">
        <v>100</v>
      </c>
      <c r="L38" s="424">
        <f t="shared" si="1"/>
        <v>0</v>
      </c>
    </row>
    <row r="39" spans="1:15" ht="17.25" customHeight="1" x14ac:dyDescent="0.2">
      <c r="A39" s="298" t="s">
        <v>122</v>
      </c>
      <c r="B39" s="238">
        <v>4200</v>
      </c>
      <c r="C39" s="311"/>
      <c r="D39" s="302" t="s">
        <v>73</v>
      </c>
      <c r="E39" s="300">
        <v>65</v>
      </c>
      <c r="F39" s="424">
        <f t="shared" si="0"/>
        <v>0</v>
      </c>
      <c r="G39" s="298" t="s">
        <v>331</v>
      </c>
      <c r="H39" s="327">
        <v>4270</v>
      </c>
      <c r="I39" s="311"/>
      <c r="J39" s="238" t="s">
        <v>73</v>
      </c>
      <c r="K39" s="300">
        <v>1.5</v>
      </c>
      <c r="L39" s="424">
        <f t="shared" si="1"/>
        <v>0</v>
      </c>
    </row>
    <row r="40" spans="1:15" ht="17.25" customHeight="1" x14ac:dyDescent="0.2">
      <c r="A40" s="298" t="s">
        <v>123</v>
      </c>
      <c r="B40" s="238">
        <v>4200</v>
      </c>
      <c r="C40" s="311"/>
      <c r="D40" s="238" t="s">
        <v>94</v>
      </c>
      <c r="E40" s="300">
        <v>45</v>
      </c>
      <c r="F40" s="424">
        <f t="shared" si="0"/>
        <v>0</v>
      </c>
      <c r="G40" s="779" t="s">
        <v>475</v>
      </c>
      <c r="H40" s="331">
        <v>4270</v>
      </c>
      <c r="I40" s="321"/>
      <c r="J40" s="780" t="s">
        <v>476</v>
      </c>
      <c r="K40" s="781">
        <v>40</v>
      </c>
      <c r="L40" s="424">
        <f t="shared" si="1"/>
        <v>0</v>
      </c>
    </row>
    <row r="41" spans="1:15" ht="17.25" customHeight="1" thickBot="1" x14ac:dyDescent="0.25">
      <c r="A41" s="298" t="s">
        <v>124</v>
      </c>
      <c r="B41" s="238">
        <v>4200</v>
      </c>
      <c r="C41" s="311"/>
      <c r="D41" s="302" t="s">
        <v>73</v>
      </c>
      <c r="E41" s="300">
        <v>70</v>
      </c>
      <c r="F41" s="424">
        <f t="shared" si="0"/>
        <v>0</v>
      </c>
      <c r="G41" s="1167" t="s">
        <v>103</v>
      </c>
      <c r="H41" s="1167"/>
      <c r="I41" s="1167"/>
      <c r="J41" s="1167"/>
      <c r="K41" s="1167"/>
      <c r="L41" s="1167"/>
    </row>
    <row r="42" spans="1:15" ht="17.25" customHeight="1" thickBot="1" x14ac:dyDescent="0.25">
      <c r="A42" s="298" t="s">
        <v>125</v>
      </c>
      <c r="B42" s="238">
        <v>4200</v>
      </c>
      <c r="C42" s="311"/>
      <c r="D42" s="238" t="s">
        <v>5</v>
      </c>
      <c r="E42" s="300">
        <v>52</v>
      </c>
      <c r="F42" s="424">
        <f t="shared" si="0"/>
        <v>0</v>
      </c>
      <c r="G42" s="1175"/>
      <c r="H42" s="1176"/>
      <c r="I42" s="322"/>
      <c r="J42" s="322"/>
      <c r="K42" s="318"/>
      <c r="L42" s="424">
        <f t="shared" si="1"/>
        <v>0</v>
      </c>
      <c r="M42" s="216"/>
    </row>
    <row r="43" spans="1:15" ht="17.25" customHeight="1" thickBot="1" x14ac:dyDescent="0.25">
      <c r="A43" s="305"/>
      <c r="B43" s="238">
        <v>4200</v>
      </c>
      <c r="C43" s="311"/>
      <c r="D43" s="303"/>
      <c r="E43" s="304"/>
      <c r="F43" s="424">
        <f t="shared" si="0"/>
        <v>0</v>
      </c>
      <c r="G43" s="1181"/>
      <c r="H43" s="1182"/>
      <c r="I43" s="303"/>
      <c r="J43" s="303"/>
      <c r="K43" s="304"/>
      <c r="L43" s="424">
        <f t="shared" si="1"/>
        <v>0</v>
      </c>
      <c r="M43" s="216"/>
    </row>
    <row r="44" spans="1:15" ht="17.25" customHeight="1" thickBot="1" x14ac:dyDescent="0.25">
      <c r="A44" s="298" t="s">
        <v>126</v>
      </c>
      <c r="B44" s="238">
        <v>4200</v>
      </c>
      <c r="C44" s="311"/>
      <c r="D44" s="238" t="s">
        <v>5</v>
      </c>
      <c r="E44" s="300">
        <v>7</v>
      </c>
      <c r="F44" s="424">
        <f t="shared" si="0"/>
        <v>0</v>
      </c>
      <c r="G44" s="1177"/>
      <c r="H44" s="1178"/>
      <c r="I44" s="319"/>
      <c r="J44" s="319"/>
      <c r="K44" s="315"/>
      <c r="L44" s="551">
        <f t="shared" si="1"/>
        <v>0</v>
      </c>
      <c r="M44" s="216"/>
    </row>
    <row r="45" spans="1:15" ht="17.25" customHeight="1" thickBot="1" x14ac:dyDescent="0.25">
      <c r="A45" s="305"/>
      <c r="B45" s="238">
        <v>4200</v>
      </c>
      <c r="C45" s="784"/>
      <c r="D45" s="303"/>
      <c r="E45" s="304"/>
      <c r="F45" s="424">
        <f t="shared" si="0"/>
        <v>0</v>
      </c>
      <c r="G45" s="1170" t="s">
        <v>355</v>
      </c>
      <c r="H45" s="1171"/>
      <c r="I45" s="1171"/>
      <c r="J45" s="1171"/>
      <c r="K45" s="1171"/>
      <c r="L45" s="1172"/>
    </row>
    <row r="46" spans="1:15" ht="19.5" customHeight="1" thickBot="1" x14ac:dyDescent="0.25">
      <c r="A46" s="312"/>
      <c r="B46" s="239">
        <v>4200</v>
      </c>
      <c r="C46" s="785"/>
      <c r="D46" s="319"/>
      <c r="E46" s="315"/>
      <c r="F46" s="424">
        <f t="shared" si="0"/>
        <v>0</v>
      </c>
      <c r="G46" s="1169" t="s">
        <v>480</v>
      </c>
      <c r="H46" s="1169"/>
      <c r="I46" s="1169"/>
      <c r="J46" s="1169"/>
      <c r="K46" s="24">
        <v>1200</v>
      </c>
      <c r="L46" s="426">
        <f>IF(M18=FALSE,0,L18)+IF(M19=FALSE,0,L19)+IF(M20=FALSE,0,L20)+IF(M31=FALSE,0,L31)+IF(M32=FALSE,0,L32)+IF(M33=FALSE,0,L33)+IF(M34=FALSE,0,L34)+IF(M22=FALSE,0,L22)+IF(M23=FALSE,0,L23)+IF(M24=FALSE,0,L24)+IF(M25=FALSE,0,L25)+IF(M26=FALSE,0,L26)+IF(M27=FALSE,0,L27)+IF(M28=FALSE,0,L28)+IF(M42=FALSE,0,L42)+IF(M43=FALSE,0,L43)+IF(M44=FALSE,0,L44)</f>
        <v>0</v>
      </c>
      <c r="M46" s="29"/>
    </row>
    <row r="47" spans="1:15" ht="21" customHeight="1" thickBot="1" x14ac:dyDescent="0.25">
      <c r="A47" s="1164" t="s">
        <v>96</v>
      </c>
      <c r="B47" s="1165"/>
      <c r="C47" s="1165"/>
      <c r="D47" s="1165"/>
      <c r="E47" s="1166"/>
      <c r="F47" s="425">
        <f>SUM(F31:F46)+SUM(F11:F29)</f>
        <v>0</v>
      </c>
      <c r="G47" s="1168" t="s">
        <v>127</v>
      </c>
      <c r="H47" s="1168"/>
      <c r="I47" s="1168"/>
      <c r="J47" s="1168"/>
      <c r="K47" s="24">
        <v>1210</v>
      </c>
      <c r="L47" s="427">
        <f>F47+L12+L13+L14+L15+L16+L18+L19+L20+L22+L23+L24+L25+L26+L27+L28+L29+L31+L32+L33+L34+L36+L37+L38+L39+L40+L42+L43+L44-L46</f>
        <v>0</v>
      </c>
    </row>
  </sheetData>
  <sheetProtection sheet="1"/>
  <customSheetViews>
    <customSheetView guid="{B919D2EB-D122-4E25-8E52-25BE88B69D9E}" scale="90" showPageBreaks="1" showGridLines="0" zeroValues="0" printArea="1" topLeftCell="A34">
      <selection activeCell="Q59" sqref="Q59"/>
      <pageMargins left="0.31" right="0.24" top="0.39370078740157483" bottom="0.19685039370078741" header="0.39370078740157483" footer="0.1968503937007874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22">
    <mergeCell ref="H4:L4"/>
    <mergeCell ref="I9:J9"/>
    <mergeCell ref="C9:D9"/>
    <mergeCell ref="G9:H9"/>
    <mergeCell ref="G43:H43"/>
    <mergeCell ref="G11:L11"/>
    <mergeCell ref="G10:K10"/>
    <mergeCell ref="G41:L41"/>
    <mergeCell ref="A9:B9"/>
    <mergeCell ref="G42:H42"/>
    <mergeCell ref="G17:L17"/>
    <mergeCell ref="G44:H44"/>
    <mergeCell ref="A10:F10"/>
    <mergeCell ref="G35:L35"/>
    <mergeCell ref="A30:F30"/>
    <mergeCell ref="O31:O33"/>
    <mergeCell ref="A47:E47"/>
    <mergeCell ref="G21:L21"/>
    <mergeCell ref="G47:J47"/>
    <mergeCell ref="G46:J46"/>
    <mergeCell ref="G30:L30"/>
    <mergeCell ref="G45:L45"/>
  </mergeCells>
  <phoneticPr fontId="16" type="noConversion"/>
  <pageMargins left="0.11811023622047245" right="0" top="0.39370078740157483" bottom="0.19685039370078741" header="0.39370078740157483" footer="0.19685039370078741"/>
  <pageSetup paperSize="9" orientation="portrait" blackAndWhite="1" r:id="rId2"/>
  <headerFooter alignWithMargins="0">
    <oddFooter>&amp;C&amp;8(C) Lerch Treuhand AG, Itingen</oddFooter>
  </headerFooter>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6BF69-4094-413D-8147-9DFAAC5FDEA1}">
  <sheetPr codeName="Tabelle14">
    <tabColor indexed="10"/>
  </sheetPr>
  <dimension ref="A1:M47"/>
  <sheetViews>
    <sheetView showGridLines="0" showZeros="0" zoomScale="90" workbookViewId="0">
      <selection activeCell="P4" sqref="P4"/>
    </sheetView>
  </sheetViews>
  <sheetFormatPr baseColWidth="10" defaultRowHeight="12.75" x14ac:dyDescent="0.2"/>
  <cols>
    <col min="1" max="1" width="16" customWidth="1"/>
    <col min="2" max="2" width="5.5703125" style="16" customWidth="1"/>
    <col min="3" max="3" width="5.5703125" customWidth="1"/>
    <col min="4" max="4" width="4" style="16" customWidth="1"/>
    <col min="5" max="5" width="5.5703125" customWidth="1"/>
    <col min="6" max="6" width="10.85546875" bestFit="1" customWidth="1"/>
    <col min="7" max="7" width="1.140625" customWidth="1"/>
    <col min="8" max="8" width="16.42578125" customWidth="1"/>
    <col min="9" max="9" width="5.5703125" style="40" customWidth="1"/>
    <col min="10" max="10" width="5.5703125" customWidth="1"/>
    <col min="11" max="11" width="4" style="41" customWidth="1"/>
    <col min="12" max="12" width="5.5703125" customWidth="1"/>
    <col min="13" max="13" width="10.85546875" customWidth="1"/>
  </cols>
  <sheetData>
    <row r="1" spans="1:13" ht="23.25" x14ac:dyDescent="0.35">
      <c r="A1" s="760">
        <f>DECKBLATT!B14</f>
        <v>0</v>
      </c>
      <c r="B1" s="17"/>
    </row>
    <row r="2" spans="1:13" ht="8.25" customHeight="1" x14ac:dyDescent="0.35">
      <c r="B2" s="211"/>
      <c r="C2" s="211"/>
      <c r="D2" s="211"/>
      <c r="E2" s="211"/>
      <c r="F2" s="211"/>
    </row>
    <row r="3" spans="1:13" ht="18.75" customHeight="1" x14ac:dyDescent="0.35">
      <c r="B3" s="211"/>
      <c r="C3" s="211"/>
      <c r="D3" s="211"/>
      <c r="E3" s="211"/>
      <c r="F3" s="211"/>
      <c r="K3" s="15"/>
      <c r="M3" s="15"/>
    </row>
    <row r="4" spans="1:13" ht="26.25" customHeight="1" x14ac:dyDescent="0.4">
      <c r="A4" s="539" t="s">
        <v>410</v>
      </c>
      <c r="B4" s="34"/>
      <c r="H4" s="988">
        <f>DECKBLATT!B11</f>
        <v>46022</v>
      </c>
      <c r="I4" s="988"/>
      <c r="J4" s="988"/>
      <c r="K4" s="988"/>
      <c r="L4" s="988"/>
      <c r="M4" s="988"/>
    </row>
    <row r="5" spans="1:13" ht="9" customHeight="1" x14ac:dyDescent="0.25">
      <c r="B5" s="88"/>
      <c r="C5" s="88"/>
    </row>
    <row r="6" spans="1:13" ht="18.75" x14ac:dyDescent="0.3">
      <c r="A6" s="564" t="s">
        <v>430</v>
      </c>
      <c r="B6" s="38"/>
    </row>
    <row r="7" spans="1:13" ht="18.75" customHeight="1" x14ac:dyDescent="0.2">
      <c r="A7" s="1173" t="s">
        <v>0</v>
      </c>
      <c r="B7" s="1174"/>
      <c r="C7" s="1179" t="s">
        <v>1</v>
      </c>
      <c r="D7" s="1180"/>
      <c r="E7" s="182" t="s">
        <v>2</v>
      </c>
      <c r="F7" s="182" t="s">
        <v>160</v>
      </c>
      <c r="G7" s="185"/>
      <c r="H7" s="1173" t="s">
        <v>0</v>
      </c>
      <c r="I7" s="1174"/>
      <c r="J7" s="1179" t="s">
        <v>1</v>
      </c>
      <c r="K7" s="1180"/>
      <c r="L7" s="182" t="s">
        <v>2</v>
      </c>
      <c r="M7" s="178" t="s">
        <v>160</v>
      </c>
    </row>
    <row r="8" spans="1:13" ht="15.75" customHeight="1" x14ac:dyDescent="0.2">
      <c r="A8" s="1164" t="s">
        <v>143</v>
      </c>
      <c r="B8" s="1165"/>
      <c r="C8" s="1165"/>
      <c r="D8" s="1165"/>
      <c r="E8" s="1165"/>
      <c r="F8" s="1166"/>
      <c r="H8" s="1164" t="s">
        <v>96</v>
      </c>
      <c r="I8" s="1165"/>
      <c r="J8" s="1165"/>
      <c r="K8" s="1165"/>
      <c r="L8" s="1166"/>
      <c r="M8" s="429">
        <f>(F46)</f>
        <v>0</v>
      </c>
    </row>
    <row r="9" spans="1:13" ht="17.25" customHeight="1" x14ac:dyDescent="0.2">
      <c r="A9" s="295" t="s">
        <v>138</v>
      </c>
      <c r="B9" s="236">
        <v>3100</v>
      </c>
      <c r="C9" s="323"/>
      <c r="D9" s="236" t="s">
        <v>5</v>
      </c>
      <c r="E9" s="318"/>
      <c r="F9" s="423">
        <f>ROUNDUP(C9*E9,0)</f>
        <v>0</v>
      </c>
      <c r="H9" s="1164" t="s">
        <v>149</v>
      </c>
      <c r="I9" s="1165"/>
      <c r="J9" s="1165"/>
      <c r="K9" s="1165"/>
      <c r="L9" s="1165"/>
      <c r="M9" s="1166"/>
    </row>
    <row r="10" spans="1:13" ht="17.25" customHeight="1" x14ac:dyDescent="0.2">
      <c r="A10" s="298" t="s">
        <v>451</v>
      </c>
      <c r="B10" s="238">
        <v>3100</v>
      </c>
      <c r="C10" s="299"/>
      <c r="D10" s="238" t="s">
        <v>5</v>
      </c>
      <c r="E10" s="304"/>
      <c r="F10" s="424">
        <f t="shared" ref="F10:F17" si="0">ROUNDUP(C10*E10,0)</f>
        <v>0</v>
      </c>
      <c r="H10" s="320"/>
      <c r="I10" s="325">
        <v>3201</v>
      </c>
      <c r="J10" s="309"/>
      <c r="K10" s="236" t="s">
        <v>5</v>
      </c>
      <c r="L10" s="326"/>
      <c r="M10" s="424">
        <f>ROUNDUP(J10*L10,0)</f>
        <v>0</v>
      </c>
    </row>
    <row r="11" spans="1:13" ht="17.25" customHeight="1" x14ac:dyDescent="0.2">
      <c r="A11" s="298" t="s">
        <v>139</v>
      </c>
      <c r="B11" s="238">
        <v>3100</v>
      </c>
      <c r="C11" s="299"/>
      <c r="D11" s="238" t="s">
        <v>5</v>
      </c>
      <c r="E11" s="304"/>
      <c r="F11" s="424">
        <f t="shared" si="0"/>
        <v>0</v>
      </c>
      <c r="H11" s="305"/>
      <c r="I11" s="327">
        <v>3201</v>
      </c>
      <c r="J11" s="311"/>
      <c r="K11" s="238" t="s">
        <v>5</v>
      </c>
      <c r="L11" s="328"/>
      <c r="M11" s="424">
        <f t="shared" ref="M11:M17" si="1">ROUNDUP(J11*L11,0)</f>
        <v>0</v>
      </c>
    </row>
    <row r="12" spans="1:13" ht="17.25" customHeight="1" x14ac:dyDescent="0.2">
      <c r="A12" s="298" t="s">
        <v>140</v>
      </c>
      <c r="B12" s="238">
        <v>3100</v>
      </c>
      <c r="C12" s="299"/>
      <c r="D12" s="238" t="s">
        <v>5</v>
      </c>
      <c r="E12" s="304"/>
      <c r="F12" s="424">
        <f t="shared" si="0"/>
        <v>0</v>
      </c>
      <c r="H12" s="305"/>
      <c r="I12" s="327">
        <v>3201</v>
      </c>
      <c r="J12" s="311"/>
      <c r="K12" s="238" t="s">
        <v>5</v>
      </c>
      <c r="L12" s="328"/>
      <c r="M12" s="424">
        <f t="shared" si="1"/>
        <v>0</v>
      </c>
    </row>
    <row r="13" spans="1:13" ht="17.25" customHeight="1" x14ac:dyDescent="0.2">
      <c r="A13" s="298" t="s">
        <v>141</v>
      </c>
      <c r="B13" s="238">
        <v>3100</v>
      </c>
      <c r="C13" s="299"/>
      <c r="D13" s="238" t="s">
        <v>5</v>
      </c>
      <c r="E13" s="304"/>
      <c r="F13" s="424">
        <f t="shared" si="0"/>
        <v>0</v>
      </c>
      <c r="H13" s="305"/>
      <c r="I13" s="327">
        <v>3201</v>
      </c>
      <c r="J13" s="311"/>
      <c r="K13" s="238" t="s">
        <v>5</v>
      </c>
      <c r="L13" s="328"/>
      <c r="M13" s="424">
        <f t="shared" si="1"/>
        <v>0</v>
      </c>
    </row>
    <row r="14" spans="1:13" ht="17.25" customHeight="1" x14ac:dyDescent="0.2">
      <c r="A14" s="305"/>
      <c r="B14" s="238">
        <v>3100</v>
      </c>
      <c r="C14" s="299"/>
      <c r="D14" s="238" t="s">
        <v>5</v>
      </c>
      <c r="E14" s="304"/>
      <c r="F14" s="424">
        <f t="shared" si="0"/>
        <v>0</v>
      </c>
      <c r="H14" s="305"/>
      <c r="I14" s="327">
        <v>3201</v>
      </c>
      <c r="J14" s="311"/>
      <c r="K14" s="238" t="s">
        <v>5</v>
      </c>
      <c r="L14" s="328"/>
      <c r="M14" s="424">
        <f t="shared" si="1"/>
        <v>0</v>
      </c>
    </row>
    <row r="15" spans="1:13" ht="17.25" customHeight="1" x14ac:dyDescent="0.2">
      <c r="A15" s="305"/>
      <c r="B15" s="238">
        <v>3100</v>
      </c>
      <c r="C15" s="299"/>
      <c r="D15" s="238" t="s">
        <v>5</v>
      </c>
      <c r="E15" s="304"/>
      <c r="F15" s="424">
        <f t="shared" si="0"/>
        <v>0</v>
      </c>
      <c r="H15" s="305"/>
      <c r="I15" s="327">
        <v>3201</v>
      </c>
      <c r="J15" s="311"/>
      <c r="K15" s="461" t="s">
        <v>22</v>
      </c>
      <c r="L15" s="328"/>
      <c r="M15" s="424">
        <f t="shared" si="1"/>
        <v>0</v>
      </c>
    </row>
    <row r="16" spans="1:13" ht="17.25" customHeight="1" x14ac:dyDescent="0.2">
      <c r="A16" s="305"/>
      <c r="B16" s="238">
        <v>3100</v>
      </c>
      <c r="C16" s="299"/>
      <c r="D16" s="238" t="s">
        <v>5</v>
      </c>
      <c r="E16" s="304"/>
      <c r="F16" s="424">
        <f t="shared" si="0"/>
        <v>0</v>
      </c>
      <c r="H16" s="329"/>
      <c r="I16" s="238">
        <v>3201</v>
      </c>
      <c r="J16" s="330"/>
      <c r="K16" s="238" t="s">
        <v>22</v>
      </c>
      <c r="L16" s="328"/>
      <c r="M16" s="424">
        <f t="shared" si="1"/>
        <v>0</v>
      </c>
    </row>
    <row r="17" spans="1:13" ht="17.25" customHeight="1" x14ac:dyDescent="0.2">
      <c r="A17" s="305"/>
      <c r="B17" s="238">
        <v>3100</v>
      </c>
      <c r="C17" s="299"/>
      <c r="D17" s="238" t="s">
        <v>5</v>
      </c>
      <c r="E17" s="304"/>
      <c r="F17" s="424">
        <f t="shared" si="0"/>
        <v>0</v>
      </c>
      <c r="H17" s="305"/>
      <c r="I17" s="327">
        <v>3201</v>
      </c>
      <c r="J17" s="311"/>
      <c r="K17" s="238" t="s">
        <v>22</v>
      </c>
      <c r="L17" s="328"/>
      <c r="M17" s="424">
        <f t="shared" si="1"/>
        <v>0</v>
      </c>
    </row>
    <row r="18" spans="1:13" ht="17.25" customHeight="1" x14ac:dyDescent="0.2">
      <c r="A18" s="716" t="s">
        <v>142</v>
      </c>
      <c r="B18" s="239">
        <v>3100</v>
      </c>
      <c r="C18" s="324"/>
      <c r="D18" s="239"/>
      <c r="E18" s="324"/>
      <c r="F18" s="450"/>
      <c r="H18" s="716" t="s">
        <v>332</v>
      </c>
      <c r="I18" s="331">
        <v>3201</v>
      </c>
      <c r="J18" s="332"/>
      <c r="K18" s="333"/>
      <c r="L18" s="334"/>
      <c r="M18" s="451"/>
    </row>
    <row r="19" spans="1:13" ht="17.25" customHeight="1" x14ac:dyDescent="0.2">
      <c r="A19" s="1167" t="s">
        <v>144</v>
      </c>
      <c r="B19" s="1167"/>
      <c r="C19" s="1167"/>
      <c r="D19" s="1167"/>
      <c r="E19" s="1167"/>
      <c r="F19" s="1167"/>
      <c r="H19" s="1167" t="s">
        <v>148</v>
      </c>
      <c r="I19" s="1167"/>
      <c r="J19" s="1167"/>
      <c r="K19" s="1167"/>
      <c r="L19" s="1167"/>
      <c r="M19" s="1167"/>
    </row>
    <row r="20" spans="1:13" ht="17.25" customHeight="1" x14ac:dyDescent="0.2">
      <c r="A20" s="295" t="s">
        <v>145</v>
      </c>
      <c r="B20" s="236">
        <v>3110</v>
      </c>
      <c r="C20" s="323"/>
      <c r="D20" s="236" t="s">
        <v>5</v>
      </c>
      <c r="E20" s="318"/>
      <c r="F20" s="424">
        <f t="shared" ref="F20:F25" si="2">ROUNDUP(C20*E20,0)</f>
        <v>0</v>
      </c>
      <c r="H20" s="320"/>
      <c r="I20" s="308"/>
      <c r="J20" s="309"/>
      <c r="K20" s="236" t="s">
        <v>5</v>
      </c>
      <c r="L20" s="318"/>
      <c r="M20" s="424">
        <f t="shared" ref="M20:M26" si="3">ROUNDUP(J20*L20,0)</f>
        <v>0</v>
      </c>
    </row>
    <row r="21" spans="1:13" ht="17.25" customHeight="1" x14ac:dyDescent="0.2">
      <c r="A21" s="305"/>
      <c r="B21" s="238">
        <v>3110</v>
      </c>
      <c r="C21" s="299"/>
      <c r="D21" s="238" t="s">
        <v>5</v>
      </c>
      <c r="E21" s="304"/>
      <c r="F21" s="424">
        <f t="shared" si="2"/>
        <v>0</v>
      </c>
      <c r="H21" s="305"/>
      <c r="I21" s="310"/>
      <c r="J21" s="311"/>
      <c r="K21" s="238" t="s">
        <v>5</v>
      </c>
      <c r="L21" s="304"/>
      <c r="M21" s="424">
        <f t="shared" si="3"/>
        <v>0</v>
      </c>
    </row>
    <row r="22" spans="1:13" ht="17.25" customHeight="1" x14ac:dyDescent="0.2">
      <c r="A22" s="305"/>
      <c r="B22" s="238">
        <v>3110</v>
      </c>
      <c r="C22" s="299"/>
      <c r="D22" s="238" t="s">
        <v>5</v>
      </c>
      <c r="E22" s="304"/>
      <c r="F22" s="424">
        <f t="shared" si="2"/>
        <v>0</v>
      </c>
      <c r="H22" s="305"/>
      <c r="I22" s="310"/>
      <c r="J22" s="311"/>
      <c r="K22" s="238" t="s">
        <v>5</v>
      </c>
      <c r="L22" s="304"/>
      <c r="M22" s="424">
        <f t="shared" si="3"/>
        <v>0</v>
      </c>
    </row>
    <row r="23" spans="1:13" ht="17.25" customHeight="1" x14ac:dyDescent="0.2">
      <c r="A23" s="305"/>
      <c r="B23" s="238">
        <v>3110</v>
      </c>
      <c r="C23" s="299"/>
      <c r="D23" s="238" t="s">
        <v>5</v>
      </c>
      <c r="E23" s="304"/>
      <c r="F23" s="424">
        <f t="shared" si="2"/>
        <v>0</v>
      </c>
      <c r="H23" s="305"/>
      <c r="I23" s="310"/>
      <c r="J23" s="311"/>
      <c r="K23" s="461" t="s">
        <v>5</v>
      </c>
      <c r="L23" s="304"/>
      <c r="M23" s="424">
        <f t="shared" si="3"/>
        <v>0</v>
      </c>
    </row>
    <row r="24" spans="1:13" ht="17.25" customHeight="1" x14ac:dyDescent="0.2">
      <c r="A24" s="305"/>
      <c r="B24" s="238">
        <v>3110</v>
      </c>
      <c r="C24" s="299"/>
      <c r="D24" s="238" t="s">
        <v>5</v>
      </c>
      <c r="E24" s="304"/>
      <c r="F24" s="424">
        <f t="shared" si="2"/>
        <v>0</v>
      </c>
      <c r="H24" s="305"/>
      <c r="I24" s="310"/>
      <c r="J24" s="311"/>
      <c r="K24" s="238" t="s">
        <v>22</v>
      </c>
      <c r="L24" s="304"/>
      <c r="M24" s="424">
        <f t="shared" si="3"/>
        <v>0</v>
      </c>
    </row>
    <row r="25" spans="1:13" ht="17.25" customHeight="1" x14ac:dyDescent="0.2">
      <c r="A25" s="305"/>
      <c r="B25" s="238">
        <v>3110</v>
      </c>
      <c r="C25" s="299"/>
      <c r="D25" s="302" t="s">
        <v>346</v>
      </c>
      <c r="E25" s="304"/>
      <c r="F25" s="424">
        <f t="shared" si="2"/>
        <v>0</v>
      </c>
      <c r="H25" s="305"/>
      <c r="I25" s="310"/>
      <c r="J25" s="311"/>
      <c r="K25" s="238" t="s">
        <v>22</v>
      </c>
      <c r="L25" s="304"/>
      <c r="M25" s="424">
        <f t="shared" si="3"/>
        <v>0</v>
      </c>
    </row>
    <row r="26" spans="1:13" ht="17.25" customHeight="1" x14ac:dyDescent="0.2">
      <c r="A26" s="716" t="s">
        <v>146</v>
      </c>
      <c r="B26" s="239">
        <v>3110</v>
      </c>
      <c r="C26" s="324"/>
      <c r="D26" s="335"/>
      <c r="E26" s="334"/>
      <c r="F26" s="451"/>
      <c r="H26" s="305"/>
      <c r="I26" s="310"/>
      <c r="J26" s="311"/>
      <c r="K26" s="238" t="s">
        <v>22</v>
      </c>
      <c r="L26" s="304"/>
      <c r="M26" s="424">
        <f t="shared" si="3"/>
        <v>0</v>
      </c>
    </row>
    <row r="27" spans="1:13" ht="17.25" customHeight="1" x14ac:dyDescent="0.2">
      <c r="A27" s="1167" t="s">
        <v>147</v>
      </c>
      <c r="B27" s="1167"/>
      <c r="C27" s="1167"/>
      <c r="D27" s="1167"/>
      <c r="E27" s="1167"/>
      <c r="F27" s="1167"/>
      <c r="H27" s="336"/>
      <c r="I27" s="313"/>
      <c r="J27" s="324"/>
      <c r="K27" s="333"/>
      <c r="L27" s="324"/>
      <c r="M27" s="451"/>
    </row>
    <row r="28" spans="1:13" ht="17.25" customHeight="1" x14ac:dyDescent="0.2">
      <c r="A28" s="320"/>
      <c r="B28" s="236">
        <v>3120</v>
      </c>
      <c r="C28" s="309"/>
      <c r="D28" s="236" t="s">
        <v>22</v>
      </c>
      <c r="E28" s="318"/>
      <c r="F28" s="424">
        <f t="shared" ref="F28:F33" si="4">ROUNDUP(C28*E28,0)</f>
        <v>0</v>
      </c>
      <c r="H28" s="1167" t="s">
        <v>150</v>
      </c>
      <c r="I28" s="1167"/>
      <c r="J28" s="1167"/>
      <c r="K28" s="1167"/>
      <c r="L28" s="1167"/>
      <c r="M28" s="1167"/>
    </row>
    <row r="29" spans="1:13" ht="17.25" customHeight="1" x14ac:dyDescent="0.2">
      <c r="A29" s="305"/>
      <c r="B29" s="238">
        <v>3120</v>
      </c>
      <c r="C29" s="311"/>
      <c r="D29" s="238" t="s">
        <v>22</v>
      </c>
      <c r="E29" s="304"/>
      <c r="F29" s="424">
        <f t="shared" si="4"/>
        <v>0</v>
      </c>
      <c r="H29" s="295" t="s">
        <v>153</v>
      </c>
      <c r="I29" s="325">
        <v>3300</v>
      </c>
      <c r="J29" s="309"/>
      <c r="K29" s="236" t="s">
        <v>99</v>
      </c>
      <c r="L29" s="318"/>
      <c r="M29" s="424">
        <f t="shared" ref="M29:M42" si="5">ROUNDUP(J29*L29,0)</f>
        <v>0</v>
      </c>
    </row>
    <row r="30" spans="1:13" ht="17.25" customHeight="1" x14ac:dyDescent="0.2">
      <c r="A30" s="305"/>
      <c r="B30" s="238">
        <v>3120</v>
      </c>
      <c r="C30" s="311"/>
      <c r="D30" s="238" t="s">
        <v>22</v>
      </c>
      <c r="E30" s="304"/>
      <c r="F30" s="424">
        <f t="shared" si="4"/>
        <v>0</v>
      </c>
      <c r="H30" s="298" t="s">
        <v>154</v>
      </c>
      <c r="I30" s="327">
        <v>3300</v>
      </c>
      <c r="J30" s="311"/>
      <c r="K30" s="238" t="s">
        <v>99</v>
      </c>
      <c r="L30" s="304"/>
      <c r="M30" s="424">
        <f t="shared" si="5"/>
        <v>0</v>
      </c>
    </row>
    <row r="31" spans="1:13" ht="17.25" customHeight="1" x14ac:dyDescent="0.2">
      <c r="A31" s="305"/>
      <c r="B31" s="238">
        <v>3120</v>
      </c>
      <c r="C31" s="311"/>
      <c r="D31" s="238" t="s">
        <v>99</v>
      </c>
      <c r="E31" s="304"/>
      <c r="F31" s="424">
        <f t="shared" si="4"/>
        <v>0</v>
      </c>
      <c r="H31" s="298" t="s">
        <v>155</v>
      </c>
      <c r="I31" s="327">
        <v>3300</v>
      </c>
      <c r="J31" s="311"/>
      <c r="K31" s="238" t="s">
        <v>99</v>
      </c>
      <c r="L31" s="304"/>
      <c r="M31" s="424">
        <f t="shared" si="5"/>
        <v>0</v>
      </c>
    </row>
    <row r="32" spans="1:13" ht="17.25" customHeight="1" x14ac:dyDescent="0.2">
      <c r="A32" s="305"/>
      <c r="B32" s="238">
        <v>3120</v>
      </c>
      <c r="C32" s="311"/>
      <c r="D32" s="238" t="s">
        <v>99</v>
      </c>
      <c r="E32" s="304"/>
      <c r="F32" s="424">
        <f t="shared" si="4"/>
        <v>0</v>
      </c>
      <c r="H32" s="298" t="s">
        <v>156</v>
      </c>
      <c r="I32" s="327">
        <v>3300</v>
      </c>
      <c r="J32" s="311"/>
      <c r="K32" s="238" t="s">
        <v>22</v>
      </c>
      <c r="L32" s="304"/>
      <c r="M32" s="424">
        <f t="shared" si="5"/>
        <v>0</v>
      </c>
    </row>
    <row r="33" spans="1:13" ht="17.25" customHeight="1" x14ac:dyDescent="0.2">
      <c r="A33" s="305"/>
      <c r="B33" s="238">
        <v>3120</v>
      </c>
      <c r="C33" s="311"/>
      <c r="D33" s="238" t="s">
        <v>99</v>
      </c>
      <c r="E33" s="304"/>
      <c r="F33" s="424">
        <f t="shared" si="4"/>
        <v>0</v>
      </c>
      <c r="H33" s="305"/>
      <c r="I33" s="327"/>
      <c r="J33" s="311"/>
      <c r="K33" s="303"/>
      <c r="L33" s="304"/>
      <c r="M33" s="424">
        <f t="shared" si="5"/>
        <v>0</v>
      </c>
    </row>
    <row r="34" spans="1:13" ht="17.25" customHeight="1" x14ac:dyDescent="0.2">
      <c r="A34" s="716" t="s">
        <v>152</v>
      </c>
      <c r="B34" s="239">
        <v>3120</v>
      </c>
      <c r="C34" s="332"/>
      <c r="D34" s="239"/>
      <c r="E34" s="334"/>
      <c r="F34" s="451"/>
      <c r="H34" s="305"/>
      <c r="I34" s="327"/>
      <c r="J34" s="311"/>
      <c r="K34" s="303"/>
      <c r="L34" s="304"/>
      <c r="M34" s="424">
        <f t="shared" si="5"/>
        <v>0</v>
      </c>
    </row>
    <row r="35" spans="1:13" ht="17.25" customHeight="1" x14ac:dyDescent="0.2">
      <c r="A35" s="1167" t="s">
        <v>151</v>
      </c>
      <c r="B35" s="1167"/>
      <c r="C35" s="1167"/>
      <c r="D35" s="1167"/>
      <c r="E35" s="1167"/>
      <c r="F35" s="1167"/>
      <c r="H35" s="298" t="s">
        <v>157</v>
      </c>
      <c r="I35" s="327">
        <v>3510</v>
      </c>
      <c r="J35" s="311"/>
      <c r="K35" s="238" t="s">
        <v>99</v>
      </c>
      <c r="L35" s="304"/>
      <c r="M35" s="424">
        <f t="shared" si="5"/>
        <v>0</v>
      </c>
    </row>
    <row r="36" spans="1:13" ht="17.25" customHeight="1" x14ac:dyDescent="0.2">
      <c r="A36" s="320"/>
      <c r="B36" s="236">
        <v>3200</v>
      </c>
      <c r="C36" s="309"/>
      <c r="D36" s="236" t="s">
        <v>5</v>
      </c>
      <c r="E36" s="318"/>
      <c r="F36" s="424">
        <f t="shared" ref="F36:F44" si="6">ROUNDUP(C36*E36,0)</f>
        <v>0</v>
      </c>
      <c r="H36" s="298" t="s">
        <v>379</v>
      </c>
      <c r="I36" s="327">
        <v>3510</v>
      </c>
      <c r="J36" s="311"/>
      <c r="K36" s="238" t="s">
        <v>100</v>
      </c>
      <c r="L36" s="304"/>
      <c r="M36" s="424">
        <f t="shared" si="5"/>
        <v>0</v>
      </c>
    </row>
    <row r="37" spans="1:13" ht="17.25" customHeight="1" x14ac:dyDescent="0.2">
      <c r="A37" s="305"/>
      <c r="B37" s="238">
        <v>3200</v>
      </c>
      <c r="C37" s="311"/>
      <c r="D37" s="238" t="s">
        <v>5</v>
      </c>
      <c r="E37" s="304"/>
      <c r="F37" s="424">
        <f t="shared" si="6"/>
        <v>0</v>
      </c>
      <c r="H37" s="460" t="s">
        <v>377</v>
      </c>
      <c r="I37" s="238">
        <v>3510</v>
      </c>
      <c r="J37" s="311"/>
      <c r="K37" s="461" t="s">
        <v>378</v>
      </c>
      <c r="L37" s="304"/>
      <c r="M37" s="424">
        <f t="shared" si="5"/>
        <v>0</v>
      </c>
    </row>
    <row r="38" spans="1:13" ht="17.25" customHeight="1" x14ac:dyDescent="0.2">
      <c r="A38" s="305"/>
      <c r="B38" s="238">
        <v>3200</v>
      </c>
      <c r="C38" s="311"/>
      <c r="D38" s="238" t="s">
        <v>5</v>
      </c>
      <c r="E38" s="304"/>
      <c r="F38" s="424">
        <f t="shared" si="6"/>
        <v>0</v>
      </c>
      <c r="H38" s="305"/>
      <c r="I38" s="238"/>
      <c r="J38" s="330"/>
      <c r="K38" s="303"/>
      <c r="L38" s="304"/>
      <c r="M38" s="424">
        <f t="shared" si="5"/>
        <v>0</v>
      </c>
    </row>
    <row r="39" spans="1:13" ht="17.25" customHeight="1" x14ac:dyDescent="0.2">
      <c r="A39" s="305"/>
      <c r="B39" s="238">
        <v>3200</v>
      </c>
      <c r="C39" s="311"/>
      <c r="D39" s="238" t="s">
        <v>5</v>
      </c>
      <c r="E39" s="304"/>
      <c r="F39" s="424">
        <f t="shared" si="6"/>
        <v>0</v>
      </c>
      <c r="H39" s="298" t="s">
        <v>380</v>
      </c>
      <c r="I39" s="238">
        <v>3220</v>
      </c>
      <c r="J39" s="311"/>
      <c r="K39" s="238" t="s">
        <v>5</v>
      </c>
      <c r="L39" s="304"/>
      <c r="M39" s="424">
        <f t="shared" si="5"/>
        <v>0</v>
      </c>
    </row>
    <row r="40" spans="1:13" ht="17.25" customHeight="1" x14ac:dyDescent="0.2">
      <c r="A40" s="305"/>
      <c r="B40" s="238">
        <v>3200</v>
      </c>
      <c r="C40" s="311"/>
      <c r="D40" s="238" t="s">
        <v>5</v>
      </c>
      <c r="E40" s="304"/>
      <c r="F40" s="424">
        <f t="shared" si="6"/>
        <v>0</v>
      </c>
      <c r="H40" s="305"/>
      <c r="I40" s="238"/>
      <c r="J40" s="330"/>
      <c r="K40" s="303"/>
      <c r="L40" s="304"/>
      <c r="M40" s="424">
        <f t="shared" si="5"/>
        <v>0</v>
      </c>
    </row>
    <row r="41" spans="1:13" ht="17.25" customHeight="1" x14ac:dyDescent="0.2">
      <c r="A41" s="305"/>
      <c r="B41" s="238">
        <v>3200</v>
      </c>
      <c r="C41" s="311"/>
      <c r="D41" s="238" t="s">
        <v>5</v>
      </c>
      <c r="E41" s="304"/>
      <c r="F41" s="424">
        <f t="shared" si="6"/>
        <v>0</v>
      </c>
      <c r="H41" s="337" t="s">
        <v>391</v>
      </c>
      <c r="I41" s="238">
        <v>3210</v>
      </c>
      <c r="J41" s="330"/>
      <c r="K41" s="238" t="s">
        <v>5</v>
      </c>
      <c r="L41" s="304"/>
      <c r="M41" s="424">
        <f t="shared" si="5"/>
        <v>0</v>
      </c>
    </row>
    <row r="42" spans="1:13" ht="17.25" customHeight="1" x14ac:dyDescent="0.2">
      <c r="A42" s="305"/>
      <c r="B42" s="238">
        <v>3200</v>
      </c>
      <c r="C42" s="311"/>
      <c r="D42" s="238" t="s">
        <v>22</v>
      </c>
      <c r="E42" s="304"/>
      <c r="F42" s="424">
        <f t="shared" si="6"/>
        <v>0</v>
      </c>
      <c r="H42" s="337" t="s">
        <v>381</v>
      </c>
      <c r="I42" s="238">
        <v>3210</v>
      </c>
      <c r="J42" s="330"/>
      <c r="K42" s="238" t="s">
        <v>73</v>
      </c>
      <c r="L42" s="304"/>
      <c r="M42" s="424">
        <f t="shared" si="5"/>
        <v>0</v>
      </c>
    </row>
    <row r="43" spans="1:13" ht="17.25" customHeight="1" x14ac:dyDescent="0.2">
      <c r="A43" s="305"/>
      <c r="B43" s="238">
        <v>3200</v>
      </c>
      <c r="C43" s="311"/>
      <c r="D43" s="238" t="s">
        <v>22</v>
      </c>
      <c r="E43" s="304"/>
      <c r="F43" s="424">
        <f t="shared" si="6"/>
        <v>0</v>
      </c>
      <c r="H43" s="336"/>
      <c r="I43" s="239"/>
      <c r="J43" s="324"/>
      <c r="K43" s="338"/>
      <c r="L43" s="324"/>
      <c r="M43" s="451"/>
    </row>
    <row r="44" spans="1:13" ht="17.25" customHeight="1" x14ac:dyDescent="0.2">
      <c r="A44" s="305"/>
      <c r="B44" s="238">
        <v>3200</v>
      </c>
      <c r="C44" s="311"/>
      <c r="D44" s="238" t="s">
        <v>22</v>
      </c>
      <c r="E44" s="304"/>
      <c r="F44" s="424">
        <f t="shared" si="6"/>
        <v>0</v>
      </c>
      <c r="H44" s="1191" t="s">
        <v>347</v>
      </c>
      <c r="I44" s="1192"/>
      <c r="J44" s="1192"/>
      <c r="K44" s="1192"/>
      <c r="L44" s="1192"/>
      <c r="M44" s="1193"/>
    </row>
    <row r="45" spans="1:13" ht="17.25" customHeight="1" thickBot="1" x14ac:dyDescent="0.25">
      <c r="A45" s="716" t="s">
        <v>333</v>
      </c>
      <c r="B45" s="239">
        <v>3200</v>
      </c>
      <c r="C45" s="324"/>
      <c r="D45" s="333"/>
      <c r="E45" s="324"/>
      <c r="F45" s="451"/>
      <c r="H45" s="1187" t="s">
        <v>461</v>
      </c>
      <c r="I45" s="1188"/>
      <c r="J45" s="1188"/>
      <c r="K45" s="1188"/>
      <c r="L45" s="1189"/>
      <c r="M45" s="1190"/>
    </row>
    <row r="46" spans="1:13" ht="21" customHeight="1" thickBot="1" x14ac:dyDescent="0.25">
      <c r="A46" s="1164" t="s">
        <v>96</v>
      </c>
      <c r="B46" s="1165"/>
      <c r="C46" s="1165"/>
      <c r="D46" s="1165"/>
      <c r="E46" s="1166"/>
      <c r="F46" s="425">
        <f>SUM(F9:F18)+SUM(F20:F26)+SUM(F28:F34)+SUM(F36:F45)</f>
        <v>0</v>
      </c>
      <c r="H46" s="1183" t="s">
        <v>479</v>
      </c>
      <c r="I46" s="1184"/>
      <c r="J46" s="1184"/>
      <c r="K46" s="1184"/>
      <c r="L46" s="1185">
        <f>SUM(F9+F10+F11+F12+F13+F14+F15+F16+F17+F18+F20+F21+F22+F23+F24+F25+F26+F28+F29+F30+F31+F32+F33+F34+F36+F37+F38+F39+F40+F41+F42+F43+F44+F45+M10+M11+M12+M13+M14+M15+M16+M17+M18+M20+M21+M22+M23+M24+M25+M26+M27+M29+M30+M31+M32+M33+M34+M35+M36+M37+M38+M39+M40+M41+M42+M43)</f>
        <v>0</v>
      </c>
      <c r="M46" s="1186"/>
    </row>
    <row r="47" spans="1:13" x14ac:dyDescent="0.2">
      <c r="A47" s="25"/>
      <c r="B47" s="39"/>
      <c r="M47" s="126"/>
    </row>
  </sheetData>
  <sheetProtection sheet="1"/>
  <customSheetViews>
    <customSheetView guid="{B919D2EB-D122-4E25-8E52-25BE88B69D9E}" scale="90" showGridLines="0" zeroValues="0">
      <selection activeCell="A6" sqref="A6"/>
      <pageMargins left="0.41" right="0.31" top="0.39370078740157483" bottom="0.39370078740157483" header="0.39370078740157483" footer="0.39370078740157483"/>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18">
    <mergeCell ref="H44:M44"/>
    <mergeCell ref="A8:F8"/>
    <mergeCell ref="H8:L8"/>
    <mergeCell ref="H9:M9"/>
    <mergeCell ref="A7:B7"/>
    <mergeCell ref="C7:D7"/>
    <mergeCell ref="H7:I7"/>
    <mergeCell ref="A35:F35"/>
    <mergeCell ref="H4:M4"/>
    <mergeCell ref="J7:K7"/>
    <mergeCell ref="A46:E46"/>
    <mergeCell ref="H46:K46"/>
    <mergeCell ref="H19:M19"/>
    <mergeCell ref="A27:F27"/>
    <mergeCell ref="H28:M28"/>
    <mergeCell ref="A19:F19"/>
    <mergeCell ref="L46:M46"/>
    <mergeCell ref="H45:M45"/>
  </mergeCells>
  <phoneticPr fontId="16" type="noConversion"/>
  <pageMargins left="0.39370078740157483" right="0.11811023622047245" top="0.39370078740157483" bottom="0.39370078740157483" header="0.39370078740157483" footer="0.39370078740157483"/>
  <pageSetup paperSize="9" orientation="portrait" blackAndWhite="1" r:id="rId2"/>
  <headerFooter alignWithMargins="0">
    <oddFooter>&amp;C&amp;8(C) Lerch Treuhand AG, Itingen</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0F832-4CFD-4E04-A428-984546FF8B92}">
  <sheetPr>
    <tabColor indexed="57"/>
  </sheetPr>
  <dimension ref="A1:D14"/>
  <sheetViews>
    <sheetView showGridLines="0" zoomScale="80" zoomScaleNormal="80" workbookViewId="0">
      <selection activeCell="D13" sqref="D13"/>
    </sheetView>
  </sheetViews>
  <sheetFormatPr baseColWidth="10" defaultRowHeight="12.75" x14ac:dyDescent="0.2"/>
  <cols>
    <col min="1" max="1" width="21.5703125" style="4" customWidth="1"/>
    <col min="2" max="2" width="21.140625" style="4" customWidth="1"/>
    <col min="3" max="3" width="4.5703125" style="4" customWidth="1"/>
    <col min="4" max="4" width="39" style="4" customWidth="1"/>
    <col min="5" max="16384" width="11.42578125" style="4"/>
  </cols>
  <sheetData>
    <row r="1" spans="1:4" ht="14.25" x14ac:dyDescent="0.2">
      <c r="D1" s="235" t="s">
        <v>367</v>
      </c>
    </row>
    <row r="2" spans="1:4" ht="14.25" x14ac:dyDescent="0.2">
      <c r="D2" s="235" t="s">
        <v>369</v>
      </c>
    </row>
    <row r="3" spans="1:4" ht="14.25" x14ac:dyDescent="0.2">
      <c r="D3" s="235" t="s">
        <v>368</v>
      </c>
    </row>
    <row r="5" spans="1:4" ht="25.5" customHeight="1" x14ac:dyDescent="0.2"/>
    <row r="6" spans="1:4" ht="35.25" x14ac:dyDescent="0.5">
      <c r="A6" s="489" t="s">
        <v>394</v>
      </c>
      <c r="D6" s="555">
        <v>46022</v>
      </c>
    </row>
    <row r="7" spans="1:4" ht="21.75" customHeight="1" x14ac:dyDescent="0.5">
      <c r="B7" s="489"/>
      <c r="C7" s="489"/>
    </row>
    <row r="8" spans="1:4" ht="18" x14ac:dyDescent="0.25">
      <c r="A8" s="490" t="s">
        <v>464</v>
      </c>
    </row>
    <row r="10" spans="1:4" ht="246" customHeight="1" x14ac:dyDescent="0.2"/>
    <row r="11" spans="1:4" ht="18" x14ac:dyDescent="0.25">
      <c r="A11" s="490" t="s">
        <v>395</v>
      </c>
    </row>
    <row r="13" spans="1:4" ht="154.5" customHeight="1" x14ac:dyDescent="0.2"/>
    <row r="14" spans="1:4" ht="22.5" customHeight="1" x14ac:dyDescent="0.25">
      <c r="A14" s="490" t="s">
        <v>396</v>
      </c>
    </row>
  </sheetData>
  <sheetProtection sheet="1"/>
  <customSheetViews>
    <customSheetView guid="{B919D2EB-D122-4E25-8E52-25BE88B69D9E}" showGridLines="0">
      <selection activeCell="Q59" sqref="Q59"/>
      <pageMargins left="0.78740157480314965" right="0.59055118110236227" top="0.47244094488188981" bottom="0.43307086614173229" header="0.31496062992125984" footer="0.31496062992125984"/>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phoneticPr fontId="16" type="noConversion"/>
  <pageMargins left="0.78740157480314965" right="0.59055118110236227" top="0.47244094488188981" bottom="0.43307086614173229" header="0.31496062992125984" footer="0.31496062992125984"/>
  <pageSetup paperSize="9" orientation="portrait" blackAndWhite="1" r:id="rId2"/>
  <headerFooter alignWithMargins="0">
    <oddFooter>&amp;C&amp;8(C) Lerch Treuhand AG, Itingen</oddFooter>
  </headerFooter>
  <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692B8-C141-49F2-85F2-899B23E175E6}">
  <sheetPr codeName="Tabelle1">
    <tabColor indexed="10"/>
  </sheetPr>
  <dimension ref="A1:N50"/>
  <sheetViews>
    <sheetView showGridLines="0" showZeros="0" zoomScale="90" zoomScaleNormal="90" workbookViewId="0">
      <selection activeCell="E41" sqref="E41"/>
    </sheetView>
  </sheetViews>
  <sheetFormatPr baseColWidth="10" defaultRowHeight="12.75" x14ac:dyDescent="0.2"/>
  <cols>
    <col min="1" max="1" width="22.28515625" customWidth="1"/>
    <col min="2" max="2" width="6.85546875" style="16" customWidth="1"/>
    <col min="3" max="3" width="8.140625" customWidth="1"/>
    <col min="4" max="4" width="3.42578125" bestFit="1" customWidth="1"/>
    <col min="5" max="5" width="10" customWidth="1"/>
    <col min="6" max="6" width="10.5703125" customWidth="1"/>
    <col min="7" max="7" width="8.140625" customWidth="1"/>
    <col min="8" max="8" width="3.42578125" bestFit="1" customWidth="1"/>
    <col min="10" max="10" width="10.5703125" customWidth="1"/>
    <col min="16" max="16" width="10.85546875" customWidth="1"/>
  </cols>
  <sheetData>
    <row r="1" spans="1:14" ht="23.25" x14ac:dyDescent="0.35">
      <c r="A1" s="760">
        <f>DECKBLATT!B14</f>
        <v>0</v>
      </c>
      <c r="B1" s="17"/>
      <c r="C1" s="2"/>
      <c r="D1" s="17"/>
      <c r="L1" s="40"/>
      <c r="N1" s="41"/>
    </row>
    <row r="2" spans="1:14" ht="9.75" customHeight="1" x14ac:dyDescent="0.25">
      <c r="D2" s="33"/>
      <c r="F2" s="16"/>
      <c r="G2" s="16"/>
      <c r="L2" s="40"/>
      <c r="N2" s="41"/>
    </row>
    <row r="3" spans="1:14" ht="14.25" x14ac:dyDescent="0.2">
      <c r="A3" s="22" t="s">
        <v>416</v>
      </c>
      <c r="F3" s="16"/>
      <c r="G3" s="16"/>
      <c r="J3" s="15"/>
      <c r="L3" s="40"/>
      <c r="N3" s="15"/>
    </row>
    <row r="4" spans="1:14" ht="14.25" x14ac:dyDescent="0.2">
      <c r="A4" s="22" t="s">
        <v>417</v>
      </c>
    </row>
    <row r="5" spans="1:14" ht="9" customHeight="1" x14ac:dyDescent="0.2">
      <c r="A5" s="22"/>
    </row>
    <row r="6" spans="1:14" ht="26.25" x14ac:dyDescent="0.4">
      <c r="A6" s="539" t="s">
        <v>263</v>
      </c>
      <c r="B6" s="34"/>
      <c r="C6" s="5"/>
      <c r="I6" s="988">
        <f>DECKBLATT!B11</f>
        <v>46022</v>
      </c>
      <c r="J6" s="988"/>
      <c r="K6" s="491"/>
    </row>
    <row r="7" spans="1:14" ht="8.25" customHeight="1" thickBot="1" x14ac:dyDescent="0.3">
      <c r="A7" s="5"/>
      <c r="B7" s="34"/>
      <c r="C7" s="5"/>
      <c r="I7" s="488"/>
      <c r="J7" s="488"/>
      <c r="K7" s="491"/>
    </row>
    <row r="8" spans="1:14" x14ac:dyDescent="0.2">
      <c r="A8" s="348"/>
      <c r="B8" s="349"/>
      <c r="C8" s="350"/>
      <c r="D8" s="351"/>
      <c r="E8" s="351"/>
      <c r="F8" s="352"/>
      <c r="G8" s="355"/>
      <c r="H8" s="356"/>
      <c r="I8" s="357" t="s">
        <v>334</v>
      </c>
      <c r="J8" s="358"/>
      <c r="K8" s="1219"/>
      <c r="L8" s="1219"/>
      <c r="M8" s="1219"/>
      <c r="N8" s="1219"/>
    </row>
    <row r="9" spans="1:14" ht="15.75" customHeight="1" x14ac:dyDescent="0.2">
      <c r="A9" s="1210" t="s">
        <v>158</v>
      </c>
      <c r="B9" s="1211"/>
      <c r="C9" s="1207" t="s">
        <v>159</v>
      </c>
      <c r="D9" s="1208"/>
      <c r="E9" s="1208"/>
      <c r="F9" s="1209"/>
      <c r="G9" s="359"/>
      <c r="H9" s="186"/>
      <c r="I9" s="1214" t="s">
        <v>335</v>
      </c>
      <c r="J9" s="1215"/>
      <c r="K9" s="42"/>
    </row>
    <row r="10" spans="1:14" ht="16.5" customHeight="1" thickBot="1" x14ac:dyDescent="0.25">
      <c r="A10" s="1212"/>
      <c r="B10" s="1213"/>
      <c r="C10" s="1206" t="s">
        <v>1</v>
      </c>
      <c r="D10" s="1200"/>
      <c r="E10" s="353" t="s">
        <v>2</v>
      </c>
      <c r="F10" s="354" t="s">
        <v>160</v>
      </c>
      <c r="G10" s="1199" t="s">
        <v>1</v>
      </c>
      <c r="H10" s="1200"/>
      <c r="I10" s="353" t="s">
        <v>2</v>
      </c>
      <c r="J10" s="354" t="s">
        <v>160</v>
      </c>
      <c r="K10" s="42"/>
    </row>
    <row r="11" spans="1:14" ht="16.5" customHeight="1" thickBot="1" x14ac:dyDescent="0.25">
      <c r="A11" s="1203" t="s">
        <v>311</v>
      </c>
      <c r="B11" s="1204"/>
      <c r="C11" s="1204"/>
      <c r="D11" s="1204"/>
      <c r="E11" s="1204"/>
      <c r="F11" s="1204"/>
      <c r="G11" s="1204"/>
      <c r="H11" s="1204"/>
      <c r="I11" s="1204"/>
      <c r="J11" s="1205"/>
      <c r="K11" s="42"/>
    </row>
    <row r="12" spans="1:14" ht="17.25" customHeight="1" x14ac:dyDescent="0.2">
      <c r="A12" s="360" t="s">
        <v>167</v>
      </c>
      <c r="B12" s="361">
        <v>4000</v>
      </c>
      <c r="C12" s="362"/>
      <c r="D12" s="363" t="s">
        <v>22</v>
      </c>
      <c r="E12" s="364">
        <v>0.56999999999999995</v>
      </c>
      <c r="F12" s="365">
        <f>(C12*E12)</f>
        <v>0</v>
      </c>
      <c r="G12" s="468"/>
      <c r="H12" s="363" t="s">
        <v>22</v>
      </c>
      <c r="I12" s="379">
        <f>E12</f>
        <v>0.56999999999999995</v>
      </c>
      <c r="J12" s="365">
        <f>(G12*I12)</f>
        <v>0</v>
      </c>
      <c r="K12" s="42"/>
    </row>
    <row r="13" spans="1:14" ht="17.25" customHeight="1" x14ac:dyDescent="0.2">
      <c r="A13" s="366" t="s">
        <v>168</v>
      </c>
      <c r="B13" s="241">
        <v>4100</v>
      </c>
      <c r="C13" s="339"/>
      <c r="D13" s="238" t="s">
        <v>22</v>
      </c>
      <c r="E13" s="340">
        <v>2</v>
      </c>
      <c r="F13" s="367">
        <f>(C13*E13)</f>
        <v>0</v>
      </c>
      <c r="G13" s="469"/>
      <c r="H13" s="238" t="s">
        <v>22</v>
      </c>
      <c r="I13" s="341">
        <f>E13</f>
        <v>2</v>
      </c>
      <c r="J13" s="367">
        <f>(G13*I13)</f>
        <v>0</v>
      </c>
      <c r="K13" s="42"/>
    </row>
    <row r="14" spans="1:14" ht="17.25" customHeight="1" thickBot="1" x14ac:dyDescent="0.25">
      <c r="A14" s="368"/>
      <c r="B14" s="369"/>
      <c r="C14" s="370"/>
      <c r="D14" s="371" t="s">
        <v>22</v>
      </c>
      <c r="E14" s="372"/>
      <c r="F14" s="373">
        <f>(C14*E14)</f>
        <v>0</v>
      </c>
      <c r="G14" s="470"/>
      <c r="H14" s="371" t="s">
        <v>22</v>
      </c>
      <c r="I14" s="471"/>
      <c r="J14" s="373">
        <f>(G14*I14)</f>
        <v>0</v>
      </c>
      <c r="K14" s="42"/>
    </row>
    <row r="15" spans="1:14" ht="17.25" customHeight="1" thickBot="1" x14ac:dyDescent="0.25">
      <c r="A15" s="1203" t="s">
        <v>161</v>
      </c>
      <c r="B15" s="1204"/>
      <c r="C15" s="1204"/>
      <c r="D15" s="1204"/>
      <c r="E15" s="1204"/>
      <c r="F15" s="1204"/>
      <c r="G15" s="1204"/>
      <c r="H15" s="1204"/>
      <c r="I15" s="1204"/>
      <c r="J15" s="1205"/>
      <c r="K15" s="42"/>
    </row>
    <row r="16" spans="1:14" ht="17.25" customHeight="1" x14ac:dyDescent="0.2">
      <c r="A16" s="360" t="s">
        <v>169</v>
      </c>
      <c r="B16" s="361">
        <v>4230</v>
      </c>
      <c r="C16" s="362"/>
      <c r="D16" s="363" t="s">
        <v>22</v>
      </c>
      <c r="E16" s="364">
        <v>2.5</v>
      </c>
      <c r="F16" s="365">
        <f>(C16*E16)</f>
        <v>0</v>
      </c>
      <c r="G16" s="468"/>
      <c r="H16" s="363" t="s">
        <v>22</v>
      </c>
      <c r="I16" s="364">
        <f t="shared" ref="I16:I21" si="0">E16</f>
        <v>2.5</v>
      </c>
      <c r="J16" s="365">
        <f>(G16*I16)</f>
        <v>0</v>
      </c>
      <c r="K16" s="42"/>
    </row>
    <row r="17" spans="1:11" ht="17.25" customHeight="1" x14ac:dyDescent="0.2">
      <c r="A17" s="366" t="s">
        <v>170</v>
      </c>
      <c r="B17" s="241">
        <v>4230</v>
      </c>
      <c r="C17" s="339"/>
      <c r="D17" s="238" t="s">
        <v>22</v>
      </c>
      <c r="E17" s="340">
        <v>9</v>
      </c>
      <c r="F17" s="367">
        <f t="shared" ref="F17:F22" si="1">(C17*E17)</f>
        <v>0</v>
      </c>
      <c r="G17" s="469"/>
      <c r="H17" s="238" t="s">
        <v>22</v>
      </c>
      <c r="I17" s="340">
        <f t="shared" si="0"/>
        <v>9</v>
      </c>
      <c r="J17" s="367">
        <f t="shared" ref="J17:J22" si="2">(G17*I17)</f>
        <v>0</v>
      </c>
      <c r="K17" s="42"/>
    </row>
    <row r="18" spans="1:11" ht="17.25" customHeight="1" x14ac:dyDescent="0.2">
      <c r="A18" s="366" t="s">
        <v>171</v>
      </c>
      <c r="B18" s="241">
        <v>4230</v>
      </c>
      <c r="C18" s="339"/>
      <c r="D18" s="238" t="s">
        <v>22</v>
      </c>
      <c r="E18" s="340">
        <v>2</v>
      </c>
      <c r="F18" s="367">
        <f t="shared" si="1"/>
        <v>0</v>
      </c>
      <c r="G18" s="469"/>
      <c r="H18" s="238" t="s">
        <v>22</v>
      </c>
      <c r="I18" s="340">
        <f t="shared" si="0"/>
        <v>2</v>
      </c>
      <c r="J18" s="367">
        <f t="shared" si="2"/>
        <v>0</v>
      </c>
      <c r="K18" s="42"/>
    </row>
    <row r="19" spans="1:11" ht="17.25" customHeight="1" x14ac:dyDescent="0.2">
      <c r="A19" s="366" t="s">
        <v>172</v>
      </c>
      <c r="B19" s="241">
        <v>4230</v>
      </c>
      <c r="C19" s="339"/>
      <c r="D19" s="241" t="s">
        <v>99</v>
      </c>
      <c r="E19" s="340">
        <v>3</v>
      </c>
      <c r="F19" s="367">
        <f t="shared" si="1"/>
        <v>0</v>
      </c>
      <c r="G19" s="469"/>
      <c r="H19" s="241" t="s">
        <v>99</v>
      </c>
      <c r="I19" s="340">
        <f t="shared" si="0"/>
        <v>3</v>
      </c>
      <c r="J19" s="367">
        <f t="shared" si="2"/>
        <v>0</v>
      </c>
      <c r="K19" s="42"/>
    </row>
    <row r="20" spans="1:11" ht="17.25" customHeight="1" x14ac:dyDescent="0.2">
      <c r="A20" s="366" t="s">
        <v>314</v>
      </c>
      <c r="B20" s="241">
        <v>4230</v>
      </c>
      <c r="C20" s="339"/>
      <c r="D20" s="241" t="s">
        <v>99</v>
      </c>
      <c r="E20" s="340">
        <v>22</v>
      </c>
      <c r="F20" s="367">
        <f t="shared" si="1"/>
        <v>0</v>
      </c>
      <c r="G20" s="469"/>
      <c r="H20" s="241" t="s">
        <v>99</v>
      </c>
      <c r="I20" s="340">
        <f t="shared" si="0"/>
        <v>22</v>
      </c>
      <c r="J20" s="367">
        <f t="shared" si="2"/>
        <v>0</v>
      </c>
      <c r="K20" s="42"/>
    </row>
    <row r="21" spans="1:11" ht="17.25" customHeight="1" x14ac:dyDescent="0.2">
      <c r="A21" s="366" t="s">
        <v>371</v>
      </c>
      <c r="B21" s="241">
        <v>4230</v>
      </c>
      <c r="C21" s="339"/>
      <c r="D21" s="241" t="s">
        <v>99</v>
      </c>
      <c r="E21" s="340">
        <v>22</v>
      </c>
      <c r="F21" s="367">
        <f t="shared" si="1"/>
        <v>0</v>
      </c>
      <c r="G21" s="469"/>
      <c r="H21" s="241" t="s">
        <v>99</v>
      </c>
      <c r="I21" s="340">
        <f t="shared" si="0"/>
        <v>22</v>
      </c>
      <c r="J21" s="367">
        <f t="shared" si="2"/>
        <v>0</v>
      </c>
      <c r="K21" s="42"/>
    </row>
    <row r="22" spans="1:11" ht="17.25" customHeight="1" x14ac:dyDescent="0.2">
      <c r="A22" s="374"/>
      <c r="B22" s="342"/>
      <c r="C22" s="339"/>
      <c r="D22" s="241" t="s">
        <v>99</v>
      </c>
      <c r="E22" s="343"/>
      <c r="F22" s="367">
        <f t="shared" si="1"/>
        <v>0</v>
      </c>
      <c r="G22" s="469"/>
      <c r="H22" s="241" t="s">
        <v>99</v>
      </c>
      <c r="I22" s="343"/>
      <c r="J22" s="367">
        <f t="shared" si="2"/>
        <v>0</v>
      </c>
      <c r="K22" s="42"/>
    </row>
    <row r="23" spans="1:11" ht="17.25" customHeight="1" thickBot="1" x14ac:dyDescent="0.25">
      <c r="A23" s="375" t="s">
        <v>173</v>
      </c>
      <c r="B23" s="376">
        <v>4230</v>
      </c>
      <c r="C23" s="377"/>
      <c r="D23" s="377"/>
      <c r="E23" s="378"/>
      <c r="F23" s="472"/>
      <c r="G23" s="1201"/>
      <c r="H23" s="1202"/>
      <c r="I23" s="1202"/>
      <c r="J23" s="472"/>
      <c r="K23" s="42"/>
    </row>
    <row r="24" spans="1:11" ht="17.25" customHeight="1" thickBot="1" x14ac:dyDescent="0.25">
      <c r="A24" s="1203" t="s">
        <v>162</v>
      </c>
      <c r="B24" s="1204"/>
      <c r="C24" s="1204"/>
      <c r="D24" s="1204"/>
      <c r="E24" s="1204"/>
      <c r="F24" s="1204"/>
      <c r="G24" s="1204"/>
      <c r="H24" s="1204"/>
      <c r="I24" s="1204"/>
      <c r="J24" s="1205"/>
      <c r="K24" s="127"/>
    </row>
    <row r="25" spans="1:11" ht="17.25" customHeight="1" x14ac:dyDescent="0.2">
      <c r="A25" s="360" t="s">
        <v>135</v>
      </c>
      <c r="B25" s="361">
        <v>4240</v>
      </c>
      <c r="C25" s="362"/>
      <c r="D25" s="380" t="s">
        <v>100</v>
      </c>
      <c r="E25" s="364">
        <v>70</v>
      </c>
      <c r="F25" s="365">
        <f t="shared" ref="F25:F35" si="3">(C25*E25)</f>
        <v>0</v>
      </c>
      <c r="G25" s="468"/>
      <c r="H25" s="380" t="s">
        <v>100</v>
      </c>
      <c r="I25" s="364">
        <f>E25</f>
        <v>70</v>
      </c>
      <c r="J25" s="365">
        <f t="shared" ref="J25:J35" si="4">(G25*I25)</f>
        <v>0</v>
      </c>
      <c r="K25" s="42"/>
    </row>
    <row r="26" spans="1:11" ht="17.25" customHeight="1" x14ac:dyDescent="0.2">
      <c r="A26" s="366" t="s">
        <v>174</v>
      </c>
      <c r="B26" s="241">
        <v>4270</v>
      </c>
      <c r="C26" s="339"/>
      <c r="D26" s="254" t="s">
        <v>100</v>
      </c>
      <c r="E26" s="340">
        <v>100</v>
      </c>
      <c r="F26" s="367">
        <f t="shared" si="3"/>
        <v>0</v>
      </c>
      <c r="G26" s="469"/>
      <c r="H26" s="254" t="s">
        <v>100</v>
      </c>
      <c r="I26" s="340">
        <f>E26</f>
        <v>100</v>
      </c>
      <c r="J26" s="367">
        <f t="shared" si="4"/>
        <v>0</v>
      </c>
      <c r="K26" s="42"/>
    </row>
    <row r="27" spans="1:11" ht="17.25" customHeight="1" x14ac:dyDescent="0.2">
      <c r="A27" s="366" t="s">
        <v>175</v>
      </c>
      <c r="B27" s="241">
        <v>4300</v>
      </c>
      <c r="C27" s="339"/>
      <c r="D27" s="241" t="s">
        <v>99</v>
      </c>
      <c r="E27" s="340">
        <v>1.25</v>
      </c>
      <c r="F27" s="367">
        <f t="shared" si="3"/>
        <v>0</v>
      </c>
      <c r="G27" s="469"/>
      <c r="H27" s="241" t="s">
        <v>99</v>
      </c>
      <c r="I27" s="340">
        <f>E27</f>
        <v>1.25</v>
      </c>
      <c r="J27" s="367">
        <f t="shared" si="4"/>
        <v>0</v>
      </c>
      <c r="K27" s="42"/>
    </row>
    <row r="28" spans="1:11" ht="17.25" customHeight="1" x14ac:dyDescent="0.2">
      <c r="A28" s="381" t="s">
        <v>308</v>
      </c>
      <c r="B28" s="241">
        <v>4310</v>
      </c>
      <c r="C28" s="339"/>
      <c r="D28" s="254" t="s">
        <v>163</v>
      </c>
      <c r="E28" s="340">
        <v>1000</v>
      </c>
      <c r="F28" s="367">
        <f t="shared" si="3"/>
        <v>0</v>
      </c>
      <c r="G28" s="469"/>
      <c r="H28" s="254" t="s">
        <v>163</v>
      </c>
      <c r="I28" s="340">
        <v>1000</v>
      </c>
      <c r="J28" s="385">
        <f t="shared" si="4"/>
        <v>0</v>
      </c>
      <c r="K28" s="42"/>
    </row>
    <row r="29" spans="1:11" ht="17.25" customHeight="1" x14ac:dyDescent="0.2">
      <c r="A29" s="381" t="s">
        <v>508</v>
      </c>
      <c r="B29" s="241">
        <v>4310</v>
      </c>
      <c r="C29" s="339"/>
      <c r="D29" s="344" t="s">
        <v>22</v>
      </c>
      <c r="E29" s="345">
        <v>35</v>
      </c>
      <c r="F29" s="367">
        <f t="shared" si="3"/>
        <v>0</v>
      </c>
      <c r="G29" s="469"/>
      <c r="H29" s="344" t="s">
        <v>22</v>
      </c>
      <c r="I29" s="345">
        <f>E29</f>
        <v>35</v>
      </c>
      <c r="J29" s="367">
        <f t="shared" si="4"/>
        <v>0</v>
      </c>
      <c r="K29" s="42"/>
    </row>
    <row r="30" spans="1:11" ht="17.25" customHeight="1" x14ac:dyDescent="0.2">
      <c r="A30" s="381" t="s">
        <v>309</v>
      </c>
      <c r="B30" s="241">
        <v>4310</v>
      </c>
      <c r="C30" s="339"/>
      <c r="D30" s="254" t="s">
        <v>163</v>
      </c>
      <c r="E30" s="340">
        <v>2000</v>
      </c>
      <c r="F30" s="367">
        <f t="shared" si="3"/>
        <v>0</v>
      </c>
      <c r="G30" s="469"/>
      <c r="H30" s="254" t="s">
        <v>163</v>
      </c>
      <c r="I30" s="345">
        <v>2000</v>
      </c>
      <c r="J30" s="367">
        <f t="shared" si="4"/>
        <v>0</v>
      </c>
      <c r="K30" s="42"/>
    </row>
    <row r="31" spans="1:11" ht="17.25" customHeight="1" x14ac:dyDescent="0.2">
      <c r="A31" s="381" t="s">
        <v>509</v>
      </c>
      <c r="B31" s="241">
        <v>4310</v>
      </c>
      <c r="C31" s="339"/>
      <c r="D31" s="344" t="s">
        <v>22</v>
      </c>
      <c r="E31" s="345">
        <v>30</v>
      </c>
      <c r="F31" s="367">
        <f t="shared" si="3"/>
        <v>0</v>
      </c>
      <c r="G31" s="469"/>
      <c r="H31" s="344" t="s">
        <v>22</v>
      </c>
      <c r="I31" s="345">
        <f>E31</f>
        <v>30</v>
      </c>
      <c r="J31" s="367">
        <f t="shared" si="4"/>
        <v>0</v>
      </c>
      <c r="K31" s="42"/>
    </row>
    <row r="32" spans="1:11" ht="17.25" customHeight="1" x14ac:dyDescent="0.2">
      <c r="A32" s="381" t="s">
        <v>277</v>
      </c>
      <c r="B32" s="241">
        <v>4310</v>
      </c>
      <c r="C32" s="339"/>
      <c r="D32" s="254" t="s">
        <v>73</v>
      </c>
      <c r="E32" s="345">
        <v>2000</v>
      </c>
      <c r="F32" s="367">
        <f t="shared" si="3"/>
        <v>0</v>
      </c>
      <c r="G32" s="469"/>
      <c r="H32" s="254" t="s">
        <v>163</v>
      </c>
      <c r="I32" s="345">
        <v>2000</v>
      </c>
      <c r="J32" s="367">
        <f t="shared" si="4"/>
        <v>0</v>
      </c>
      <c r="K32" s="42"/>
    </row>
    <row r="33" spans="1:11" ht="17.25" customHeight="1" x14ac:dyDescent="0.2">
      <c r="A33" s="381" t="s">
        <v>510</v>
      </c>
      <c r="B33" s="241">
        <v>4310</v>
      </c>
      <c r="C33" s="339"/>
      <c r="D33" s="344" t="s">
        <v>22</v>
      </c>
      <c r="E33" s="340">
        <v>26</v>
      </c>
      <c r="F33" s="367">
        <f t="shared" si="3"/>
        <v>0</v>
      </c>
      <c r="G33" s="469"/>
      <c r="H33" s="344" t="s">
        <v>22</v>
      </c>
      <c r="I33" s="345">
        <f>E33</f>
        <v>26</v>
      </c>
      <c r="J33" s="367">
        <f t="shared" si="4"/>
        <v>0</v>
      </c>
      <c r="K33" s="42"/>
    </row>
    <row r="34" spans="1:11" ht="17.25" customHeight="1" x14ac:dyDescent="0.2">
      <c r="A34" s="381" t="s">
        <v>310</v>
      </c>
      <c r="B34" s="241">
        <v>4410</v>
      </c>
      <c r="C34" s="339"/>
      <c r="D34" s="254" t="s">
        <v>73</v>
      </c>
      <c r="E34" s="340">
        <v>300</v>
      </c>
      <c r="F34" s="367">
        <f t="shared" si="3"/>
        <v>0</v>
      </c>
      <c r="G34" s="469"/>
      <c r="H34" s="254" t="s">
        <v>73</v>
      </c>
      <c r="I34" s="345">
        <v>300</v>
      </c>
      <c r="J34" s="367"/>
      <c r="K34" s="42"/>
    </row>
    <row r="35" spans="1:11" ht="17.25" customHeight="1" thickBot="1" x14ac:dyDescent="0.25">
      <c r="A35" s="382" t="s">
        <v>511</v>
      </c>
      <c r="B35" s="376">
        <v>4410</v>
      </c>
      <c r="C35" s="370"/>
      <c r="D35" s="383" t="s">
        <v>22</v>
      </c>
      <c r="E35" s="384">
        <v>29</v>
      </c>
      <c r="F35" s="373">
        <f t="shared" si="3"/>
        <v>0</v>
      </c>
      <c r="G35" s="470"/>
      <c r="H35" s="383" t="s">
        <v>22</v>
      </c>
      <c r="I35" s="384">
        <f>E35</f>
        <v>29</v>
      </c>
      <c r="J35" s="373">
        <f t="shared" si="4"/>
        <v>0</v>
      </c>
      <c r="K35" s="42"/>
    </row>
    <row r="36" spans="1:11" ht="17.25" customHeight="1" thickBot="1" x14ac:dyDescent="0.25">
      <c r="A36" s="1216" t="s">
        <v>164</v>
      </c>
      <c r="B36" s="1217"/>
      <c r="C36" s="1217"/>
      <c r="D36" s="1217"/>
      <c r="E36" s="1217"/>
      <c r="F36" s="1217"/>
      <c r="G36" s="1217"/>
      <c r="H36" s="1217"/>
      <c r="I36" s="1217"/>
      <c r="J36" s="1218"/>
      <c r="K36" s="42"/>
    </row>
    <row r="37" spans="1:11" ht="17.25" customHeight="1" x14ac:dyDescent="0.2">
      <c r="A37" s="360" t="s">
        <v>176</v>
      </c>
      <c r="B37" s="361">
        <v>4440</v>
      </c>
      <c r="C37" s="362"/>
      <c r="D37" s="380" t="s">
        <v>163</v>
      </c>
      <c r="E37" s="386"/>
      <c r="F37" s="387">
        <f>(C37*E37)</f>
        <v>0</v>
      </c>
      <c r="G37" s="468"/>
      <c r="H37" s="380" t="s">
        <v>163</v>
      </c>
      <c r="I37" s="386"/>
      <c r="J37" s="365">
        <f>(G37*I37)</f>
        <v>0</v>
      </c>
      <c r="K37" s="42"/>
    </row>
    <row r="38" spans="1:11" ht="17.25" customHeight="1" x14ac:dyDescent="0.2">
      <c r="A38" s="366" t="s">
        <v>177</v>
      </c>
      <c r="B38" s="241">
        <v>4450</v>
      </c>
      <c r="C38" s="339"/>
      <c r="D38" s="254" t="s">
        <v>163</v>
      </c>
      <c r="E38" s="340">
        <v>0.65</v>
      </c>
      <c r="F38" s="367">
        <f t="shared" ref="F38:F45" si="5">(C38*E38)</f>
        <v>0</v>
      </c>
      <c r="G38" s="469"/>
      <c r="H38" s="254" t="s">
        <v>163</v>
      </c>
      <c r="I38" s="340">
        <f>E38</f>
        <v>0.65</v>
      </c>
      <c r="J38" s="367">
        <f t="shared" ref="J38:J45" si="6">(G38*I38)</f>
        <v>0</v>
      </c>
      <c r="K38" s="42"/>
    </row>
    <row r="39" spans="1:11" ht="17.25" customHeight="1" x14ac:dyDescent="0.2">
      <c r="A39" s="366" t="s">
        <v>179</v>
      </c>
      <c r="B39" s="241">
        <v>4250</v>
      </c>
      <c r="C39" s="339"/>
      <c r="D39" s="254" t="s">
        <v>99</v>
      </c>
      <c r="E39" s="340">
        <v>9</v>
      </c>
      <c r="F39" s="367">
        <f>(C39*E39)</f>
        <v>0</v>
      </c>
      <c r="G39" s="469"/>
      <c r="H39" s="254" t="s">
        <v>99</v>
      </c>
      <c r="I39" s="340">
        <v>9</v>
      </c>
      <c r="J39" s="367">
        <f>(G39*I39)</f>
        <v>0</v>
      </c>
      <c r="K39" s="42"/>
    </row>
    <row r="40" spans="1:11" ht="17.25" customHeight="1" x14ac:dyDescent="0.2">
      <c r="A40" s="374"/>
      <c r="B40" s="342"/>
      <c r="C40" s="339"/>
      <c r="D40" s="303"/>
      <c r="E40" s="343"/>
      <c r="F40" s="367">
        <f t="shared" si="5"/>
        <v>0</v>
      </c>
      <c r="G40" s="469"/>
      <c r="H40" s="303"/>
      <c r="I40" s="343"/>
      <c r="J40" s="367">
        <f t="shared" si="6"/>
        <v>0</v>
      </c>
      <c r="K40" s="42"/>
    </row>
    <row r="41" spans="1:11" ht="17.25" customHeight="1" x14ac:dyDescent="0.2">
      <c r="A41" s="366" t="s">
        <v>165</v>
      </c>
      <c r="B41" s="342"/>
      <c r="C41" s="339"/>
      <c r="D41" s="238" t="s">
        <v>22</v>
      </c>
      <c r="E41" s="340">
        <v>29</v>
      </c>
      <c r="F41" s="367">
        <f t="shared" si="5"/>
        <v>0</v>
      </c>
      <c r="G41" s="469"/>
      <c r="H41" s="238" t="s">
        <v>22</v>
      </c>
      <c r="I41" s="340">
        <f>E41</f>
        <v>29</v>
      </c>
      <c r="J41" s="367">
        <f t="shared" si="6"/>
        <v>0</v>
      </c>
      <c r="K41" s="42"/>
    </row>
    <row r="42" spans="1:11" ht="17.25" customHeight="1" x14ac:dyDescent="0.2">
      <c r="A42" s="374"/>
      <c r="B42" s="342"/>
      <c r="C42" s="339"/>
      <c r="D42" s="303"/>
      <c r="E42" s="343"/>
      <c r="F42" s="367">
        <f t="shared" si="5"/>
        <v>0</v>
      </c>
      <c r="G42" s="469"/>
      <c r="H42" s="303"/>
      <c r="I42" s="343"/>
      <c r="J42" s="367">
        <f t="shared" si="6"/>
        <v>0</v>
      </c>
      <c r="K42" s="42"/>
    </row>
    <row r="43" spans="1:11" ht="17.25" customHeight="1" x14ac:dyDescent="0.2">
      <c r="A43" s="366" t="s">
        <v>312</v>
      </c>
      <c r="B43" s="241">
        <v>4420</v>
      </c>
      <c r="C43" s="339"/>
      <c r="D43" s="238" t="s">
        <v>22</v>
      </c>
      <c r="E43" s="345">
        <v>20</v>
      </c>
      <c r="F43" s="367">
        <f t="shared" si="5"/>
        <v>0</v>
      </c>
      <c r="G43" s="469"/>
      <c r="H43" s="238" t="s">
        <v>22</v>
      </c>
      <c r="I43" s="340">
        <f>E43</f>
        <v>20</v>
      </c>
      <c r="J43" s="367">
        <f t="shared" si="6"/>
        <v>0</v>
      </c>
      <c r="K43" s="42"/>
    </row>
    <row r="44" spans="1:11" ht="17.25" customHeight="1" x14ac:dyDescent="0.2">
      <c r="A44" s="366" t="s">
        <v>313</v>
      </c>
      <c r="B44" s="241">
        <v>4430</v>
      </c>
      <c r="C44" s="339"/>
      <c r="D44" s="238" t="s">
        <v>22</v>
      </c>
      <c r="E44" s="345">
        <v>20</v>
      </c>
      <c r="F44" s="367">
        <f t="shared" si="5"/>
        <v>0</v>
      </c>
      <c r="G44" s="469"/>
      <c r="H44" s="238" t="s">
        <v>22</v>
      </c>
      <c r="I44" s="340">
        <f>E44</f>
        <v>20</v>
      </c>
      <c r="J44" s="367">
        <f t="shared" si="6"/>
        <v>0</v>
      </c>
      <c r="K44" s="42"/>
    </row>
    <row r="45" spans="1:11" ht="17.25" customHeight="1" thickBot="1" x14ac:dyDescent="0.25">
      <c r="A45" s="368"/>
      <c r="B45" s="369"/>
      <c r="C45" s="370"/>
      <c r="D45" s="370"/>
      <c r="E45" s="388"/>
      <c r="F45" s="373">
        <f t="shared" si="5"/>
        <v>0</v>
      </c>
      <c r="G45" s="470"/>
      <c r="H45" s="370"/>
      <c r="I45" s="372"/>
      <c r="J45" s="373">
        <f t="shared" si="6"/>
        <v>0</v>
      </c>
      <c r="K45" s="42"/>
    </row>
    <row r="46" spans="1:11" ht="9" customHeight="1" thickBot="1" x14ac:dyDescent="0.25">
      <c r="A46" s="43"/>
      <c r="B46" s="44"/>
      <c r="C46" s="43"/>
      <c r="D46" s="18"/>
      <c r="E46" s="18"/>
      <c r="F46" s="18"/>
      <c r="G46" s="18"/>
      <c r="H46" s="18"/>
      <c r="I46" s="18"/>
      <c r="J46" s="18"/>
    </row>
    <row r="47" spans="1:11" ht="17.25" customHeight="1" thickBot="1" x14ac:dyDescent="0.25">
      <c r="A47" s="165" t="s">
        <v>36</v>
      </c>
      <c r="B47" s="161"/>
      <c r="C47" s="187"/>
      <c r="D47" s="1197" t="s">
        <v>178</v>
      </c>
      <c r="E47" s="1198"/>
      <c r="F47" s="120">
        <f>SUM(F12:F14,F16:F23,F25:F35,F37:F45)</f>
        <v>0</v>
      </c>
      <c r="G47" s="188"/>
      <c r="H47" s="188"/>
      <c r="I47" s="208">
        <v>3640</v>
      </c>
      <c r="J47" s="120">
        <f>SUM(J12:J14,J16:J23,J25:J35,J37:J45)</f>
        <v>0</v>
      </c>
    </row>
    <row r="48" spans="1:11" ht="11.25" customHeight="1" thickBot="1" x14ac:dyDescent="0.25">
      <c r="A48" s="26"/>
      <c r="B48" s="45"/>
      <c r="C48" s="26"/>
      <c r="D48" s="18"/>
      <c r="E48" s="18"/>
      <c r="F48" s="18"/>
      <c r="G48" s="18"/>
      <c r="H48" s="18"/>
      <c r="I48" s="18"/>
    </row>
    <row r="49" spans="1:10" ht="21" customHeight="1" thickBot="1" x14ac:dyDescent="0.25">
      <c r="A49" s="1194" t="s">
        <v>166</v>
      </c>
      <c r="B49" s="1195"/>
      <c r="C49" s="1195"/>
      <c r="D49" s="1195"/>
      <c r="E49" s="1195"/>
      <c r="F49" s="1195"/>
      <c r="G49" s="1195"/>
      <c r="H49" s="1196"/>
      <c r="I49" s="346" t="s">
        <v>14</v>
      </c>
      <c r="J49" s="347"/>
    </row>
    <row r="50" spans="1:10" ht="5.25" customHeight="1" x14ac:dyDescent="0.2">
      <c r="A50" s="18"/>
      <c r="B50" s="46"/>
      <c r="C50" s="18"/>
      <c r="D50" s="18"/>
      <c r="E50" s="18"/>
      <c r="F50" s="18"/>
      <c r="G50" s="18"/>
      <c r="H50" s="18"/>
      <c r="I50" s="18"/>
      <c r="J50" s="18"/>
    </row>
  </sheetData>
  <sheetProtection sheet="1"/>
  <customSheetViews>
    <customSheetView guid="{B919D2EB-D122-4E25-8E52-25BE88B69D9E}" scale="90" showPageBreaks="1" showGridLines="0" zeroValues="0" printArea="1">
      <selection activeCell="Q59" sqref="Q59"/>
      <pageMargins left="0.55000000000000004" right="0.39370078740157483" top="0.39370078740157483" bottom="0.19685039370078741" header="0.39370078740157483" footer="0.1968503937007874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14">
    <mergeCell ref="C9:F9"/>
    <mergeCell ref="A9:B10"/>
    <mergeCell ref="I9:J9"/>
    <mergeCell ref="I6:J6"/>
    <mergeCell ref="A36:J36"/>
    <mergeCell ref="K8:N8"/>
    <mergeCell ref="A49:H49"/>
    <mergeCell ref="D47:E47"/>
    <mergeCell ref="G10:H10"/>
    <mergeCell ref="G23:I23"/>
    <mergeCell ref="A24:J24"/>
    <mergeCell ref="A15:J15"/>
    <mergeCell ref="A11:J11"/>
    <mergeCell ref="C10:D10"/>
  </mergeCells>
  <phoneticPr fontId="16" type="noConversion"/>
  <pageMargins left="0.55118110236220474" right="0.39370078740157483" top="0.39370078740157483" bottom="0.19685039370078741" header="0.39370078740157483" footer="0.19685039370078741"/>
  <pageSetup paperSize="9" orientation="portrait" blackAndWhite="1" r:id="rId2"/>
  <headerFooter alignWithMargins="0">
    <oddFooter>&amp;C&amp;8(C) Lerch Treuhand AG, Itingen</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2301" r:id="rId5" name="Check Box 13">
              <controlPr locked="0" defaultSize="0" autoFill="0" autoLine="0" autoPict="0">
                <anchor moveWithCells="1">
                  <from>
                    <xdr:col>6</xdr:col>
                    <xdr:colOff>352425</xdr:colOff>
                    <xdr:row>6</xdr:row>
                    <xdr:rowOff>57150</xdr:rowOff>
                  </from>
                  <to>
                    <xdr:col>7</xdr:col>
                    <xdr:colOff>114300</xdr:colOff>
                    <xdr:row>8</xdr:row>
                    <xdr:rowOff>28575</xdr:rowOff>
                  </to>
                </anchor>
              </controlPr>
            </control>
          </mc:Choice>
        </mc:AlternateContent>
        <mc:AlternateContent xmlns:mc="http://schemas.openxmlformats.org/markup-compatibility/2006">
          <mc:Choice Requires="x14">
            <control shapeId="12302" r:id="rId6" name="Check Box 14">
              <controlPr locked="0" defaultSize="0" autoFill="0" autoLine="0" autoPict="0">
                <anchor moveWithCells="1">
                  <from>
                    <xdr:col>6</xdr:col>
                    <xdr:colOff>342900</xdr:colOff>
                    <xdr:row>7</xdr:row>
                    <xdr:rowOff>152400</xdr:rowOff>
                  </from>
                  <to>
                    <xdr:col>7</xdr:col>
                    <xdr:colOff>104775</xdr:colOff>
                    <xdr:row>9</xdr:row>
                    <xdr:rowOff>9525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E8890-FDDB-4487-B7A0-B17385C98658}">
  <sheetPr codeName="Tabelle2">
    <tabColor indexed="10"/>
    <pageSetUpPr fitToPage="1"/>
  </sheetPr>
  <dimension ref="A1:Y55"/>
  <sheetViews>
    <sheetView showGridLines="0" showZeros="0" zoomScale="90" zoomScaleNormal="90" workbookViewId="0">
      <selection activeCell="F26" sqref="F26"/>
    </sheetView>
  </sheetViews>
  <sheetFormatPr baseColWidth="10" defaultRowHeight="12.75" x14ac:dyDescent="0.2"/>
  <cols>
    <col min="1" max="1" width="4.42578125" style="16" customWidth="1"/>
    <col min="2" max="2" width="13.7109375" customWidth="1"/>
    <col min="3" max="3" width="10.5703125" customWidth="1"/>
    <col min="4" max="4" width="6.85546875" customWidth="1"/>
    <col min="5" max="5" width="2.5703125" customWidth="1"/>
    <col min="6" max="6" width="5.140625" style="16" bestFit="1" customWidth="1"/>
    <col min="7" max="7" width="2.140625" style="16" customWidth="1"/>
    <col min="8" max="8" width="6.85546875" customWidth="1"/>
    <col min="9" max="9" width="15.28515625" customWidth="1"/>
    <col min="10" max="10" width="2.28515625" customWidth="1"/>
    <col min="11" max="11" width="1.7109375" customWidth="1"/>
    <col min="12" max="12" width="15.28515625" customWidth="1"/>
    <col min="13" max="13" width="2.42578125" customWidth="1"/>
    <col min="14" max="14" width="7.7109375" customWidth="1"/>
    <col min="15" max="15" width="3.85546875" customWidth="1"/>
    <col min="16" max="16" width="1.5703125" customWidth="1"/>
    <col min="17" max="17" width="10.85546875" customWidth="1"/>
    <col min="18" max="18" width="8.140625" customWidth="1"/>
    <col min="19" max="19" width="4.85546875" customWidth="1"/>
    <col min="20" max="20" width="9.28515625" customWidth="1"/>
    <col min="21" max="21" width="3" customWidth="1"/>
    <col min="22" max="22" width="24.85546875" customWidth="1"/>
    <col min="23" max="23" width="2" customWidth="1"/>
    <col min="24" max="24" width="8.42578125" customWidth="1"/>
    <col min="25" max="25" width="2.85546875" customWidth="1"/>
  </cols>
  <sheetData>
    <row r="1" spans="1:24" ht="23.25" x14ac:dyDescent="0.35">
      <c r="A1" s="760">
        <f>DECKBLATT!B14</f>
        <v>0</v>
      </c>
    </row>
    <row r="2" spans="1:24" ht="4.5" customHeight="1" x14ac:dyDescent="0.2">
      <c r="C2" s="3"/>
      <c r="D2" s="3"/>
      <c r="E2" s="3"/>
      <c r="F2" s="20"/>
      <c r="G2" s="20"/>
    </row>
    <row r="3" spans="1:24" ht="21.75" customHeight="1" x14ac:dyDescent="0.4">
      <c r="A3" s="540" t="s">
        <v>490</v>
      </c>
      <c r="B3" s="88"/>
      <c r="C3" s="88"/>
      <c r="I3" s="792">
        <f>DECKBLATT!B11</f>
        <v>46022</v>
      </c>
      <c r="N3" s="15"/>
    </row>
    <row r="4" spans="1:24" ht="6" customHeight="1" x14ac:dyDescent="0.25">
      <c r="A4" s="540"/>
      <c r="B4" s="88"/>
      <c r="C4" s="88"/>
      <c r="I4" s="459"/>
      <c r="N4" s="15"/>
    </row>
    <row r="5" spans="1:24" ht="18.75" customHeight="1" x14ac:dyDescent="0.4">
      <c r="C5" s="793"/>
      <c r="H5" s="751" t="s">
        <v>382</v>
      </c>
    </row>
    <row r="6" spans="1:24" ht="6" customHeight="1" thickBot="1" x14ac:dyDescent="0.25">
      <c r="A6" s="47"/>
    </row>
    <row r="7" spans="1:24" ht="20.25" customHeight="1" thickBot="1" x14ac:dyDescent="0.25">
      <c r="A7" s="477" t="s">
        <v>180</v>
      </c>
      <c r="B7" s="1245" t="s">
        <v>181</v>
      </c>
      <c r="C7" s="1246"/>
      <c r="D7" s="1246"/>
      <c r="E7" s="1246"/>
      <c r="F7" s="1246"/>
      <c r="G7" s="479"/>
      <c r="H7" s="119" t="s">
        <v>182</v>
      </c>
      <c r="I7" s="1252" t="s">
        <v>183</v>
      </c>
      <c r="J7" s="1253"/>
      <c r="K7" s="1253"/>
      <c r="L7" s="1253"/>
      <c r="M7" s="1253"/>
      <c r="N7" s="1254"/>
    </row>
    <row r="8" spans="1:24" ht="15" customHeight="1" x14ac:dyDescent="0.2">
      <c r="A8" s="166">
        <v>513</v>
      </c>
      <c r="B8" s="1247" t="s">
        <v>167</v>
      </c>
      <c r="C8" s="1248"/>
      <c r="D8" s="1248"/>
      <c r="E8" s="1248"/>
      <c r="F8" s="478">
        <v>4000</v>
      </c>
      <c r="G8" s="480" t="s">
        <v>387</v>
      </c>
      <c r="H8" s="463"/>
      <c r="I8" s="1255"/>
      <c r="J8" s="1256"/>
      <c r="K8" s="1256"/>
      <c r="L8" s="1256"/>
      <c r="M8" s="1256"/>
      <c r="N8" s="1257"/>
      <c r="Q8" s="1261"/>
      <c r="R8" s="1261"/>
      <c r="S8" s="1261"/>
      <c r="T8" s="1261"/>
      <c r="U8" s="1261"/>
      <c r="V8" s="1261"/>
    </row>
    <row r="9" spans="1:24" ht="15" customHeight="1" x14ac:dyDescent="0.2">
      <c r="A9" s="166">
        <v>512</v>
      </c>
      <c r="B9" s="1236" t="s">
        <v>197</v>
      </c>
      <c r="C9" s="1078"/>
      <c r="D9" s="1078"/>
      <c r="E9" s="1078"/>
      <c r="F9" s="390">
        <v>4000</v>
      </c>
      <c r="G9" s="480" t="s">
        <v>387</v>
      </c>
      <c r="H9" s="464"/>
      <c r="I9" s="1237"/>
      <c r="J9" s="1238"/>
      <c r="K9" s="1238"/>
      <c r="L9" s="1238"/>
      <c r="M9" s="1238"/>
      <c r="N9" s="1239"/>
      <c r="Q9" s="1261"/>
      <c r="R9" s="1261"/>
      <c r="S9" s="1261"/>
      <c r="T9" s="1261"/>
      <c r="U9" s="1261"/>
      <c r="V9" s="1261"/>
    </row>
    <row r="10" spans="1:24" ht="15" customHeight="1" x14ac:dyDescent="0.2">
      <c r="A10" s="166">
        <v>512</v>
      </c>
      <c r="B10" s="1236" t="s">
        <v>198</v>
      </c>
      <c r="C10" s="1078"/>
      <c r="D10" s="1078"/>
      <c r="E10" s="1078"/>
      <c r="F10" s="390">
        <v>4000</v>
      </c>
      <c r="G10" s="480" t="s">
        <v>387</v>
      </c>
      <c r="H10" s="464"/>
      <c r="I10" s="1237"/>
      <c r="J10" s="1238"/>
      <c r="K10" s="1238"/>
      <c r="L10" s="1238"/>
      <c r="M10" s="1238"/>
      <c r="N10" s="1239"/>
      <c r="Q10" s="1262"/>
      <c r="R10" s="1262"/>
      <c r="S10" s="1262"/>
      <c r="T10" s="1262"/>
      <c r="U10" s="1262"/>
      <c r="V10" s="1262"/>
      <c r="W10" s="1262"/>
      <c r="X10" s="1262"/>
    </row>
    <row r="11" spans="1:24" ht="15" customHeight="1" x14ac:dyDescent="0.2">
      <c r="A11" s="172"/>
      <c r="B11" s="237" t="s">
        <v>189</v>
      </c>
      <c r="C11" s="240" t="s">
        <v>190</v>
      </c>
      <c r="D11" s="519"/>
      <c r="E11" s="240" t="s">
        <v>22</v>
      </c>
      <c r="F11" s="390">
        <v>4010</v>
      </c>
      <c r="G11" s="480" t="s">
        <v>387</v>
      </c>
      <c r="H11" s="464"/>
      <c r="I11" s="484" t="s">
        <v>223</v>
      </c>
      <c r="J11" s="303"/>
      <c r="K11" s="240" t="s">
        <v>224</v>
      </c>
      <c r="L11" s="396" t="s">
        <v>225</v>
      </c>
      <c r="M11" s="303"/>
      <c r="N11" s="397" t="s">
        <v>224</v>
      </c>
      <c r="Q11" s="1262"/>
      <c r="R11" s="1262"/>
      <c r="S11" s="1262"/>
      <c r="T11" s="1262"/>
      <c r="U11" s="1262"/>
      <c r="V11" s="1262"/>
      <c r="W11" s="1262"/>
      <c r="X11" s="1262"/>
    </row>
    <row r="12" spans="1:24" ht="15" customHeight="1" thickBot="1" x14ac:dyDescent="0.25">
      <c r="A12" s="172"/>
      <c r="B12" s="462"/>
      <c r="C12" s="240" t="s">
        <v>190</v>
      </c>
      <c r="D12" s="520"/>
      <c r="E12" s="240" t="s">
        <v>22</v>
      </c>
      <c r="F12" s="391"/>
      <c r="G12" s="480" t="s">
        <v>387</v>
      </c>
      <c r="H12" s="464"/>
      <c r="I12" s="1237"/>
      <c r="J12" s="1238"/>
      <c r="K12" s="1238"/>
      <c r="L12" s="1238"/>
      <c r="M12" s="1238"/>
      <c r="N12" s="1239"/>
      <c r="Q12" s="1262"/>
      <c r="R12" s="1262"/>
      <c r="S12" s="1262"/>
      <c r="T12" s="1262"/>
      <c r="U12" s="1262"/>
      <c r="V12" s="1262"/>
      <c r="W12" s="1262"/>
      <c r="X12" s="1262"/>
    </row>
    <row r="13" spans="1:24" ht="15" customHeight="1" x14ac:dyDescent="0.2">
      <c r="A13" s="172">
        <v>502</v>
      </c>
      <c r="B13" s="237" t="s">
        <v>191</v>
      </c>
      <c r="C13" s="240" t="s">
        <v>190</v>
      </c>
      <c r="D13" s="519"/>
      <c r="E13" s="240" t="s">
        <v>22</v>
      </c>
      <c r="F13" s="390">
        <v>4010</v>
      </c>
      <c r="G13" s="480" t="s">
        <v>387</v>
      </c>
      <c r="H13" s="464"/>
      <c r="I13" s="484" t="s">
        <v>223</v>
      </c>
      <c r="J13" s="521"/>
      <c r="K13" s="485" t="s">
        <v>224</v>
      </c>
      <c r="L13" s="486" t="s">
        <v>225</v>
      </c>
      <c r="M13" s="521"/>
      <c r="N13" s="487" t="s">
        <v>224</v>
      </c>
      <c r="Q13" s="1263" t="s">
        <v>385</v>
      </c>
      <c r="R13" s="1264"/>
      <c r="S13" s="1264"/>
      <c r="T13" s="1264"/>
      <c r="U13" s="1264"/>
      <c r="V13" s="1264"/>
      <c r="W13" s="1264"/>
      <c r="X13" s="1265"/>
    </row>
    <row r="14" spans="1:24" ht="15" customHeight="1" x14ac:dyDescent="0.2">
      <c r="A14" s="172">
        <v>504</v>
      </c>
      <c r="B14" s="237" t="s">
        <v>192</v>
      </c>
      <c r="C14" s="240" t="s">
        <v>190</v>
      </c>
      <c r="D14" s="519"/>
      <c r="E14" s="240" t="s">
        <v>22</v>
      </c>
      <c r="F14" s="390">
        <v>4010</v>
      </c>
      <c r="G14" s="480" t="s">
        <v>387</v>
      </c>
      <c r="H14" s="464"/>
      <c r="I14" s="484" t="s">
        <v>223</v>
      </c>
      <c r="J14" s="521"/>
      <c r="K14" s="485" t="s">
        <v>224</v>
      </c>
      <c r="L14" s="486" t="s">
        <v>225</v>
      </c>
      <c r="M14" s="521"/>
      <c r="N14" s="487" t="s">
        <v>224</v>
      </c>
      <c r="Q14" s="1266"/>
      <c r="R14" s="1267"/>
      <c r="S14" s="1267"/>
      <c r="T14" s="1267"/>
      <c r="U14" s="1267"/>
      <c r="V14" s="1267"/>
      <c r="W14" s="1267"/>
      <c r="X14" s="1268"/>
    </row>
    <row r="15" spans="1:24" ht="15" customHeight="1" thickBot="1" x14ac:dyDescent="0.25">
      <c r="A15" s="172">
        <v>505</v>
      </c>
      <c r="B15" s="237" t="s">
        <v>193</v>
      </c>
      <c r="C15" s="240" t="s">
        <v>190</v>
      </c>
      <c r="D15" s="519"/>
      <c r="E15" s="240" t="s">
        <v>22</v>
      </c>
      <c r="F15" s="390">
        <v>4010</v>
      </c>
      <c r="G15" s="480" t="s">
        <v>387</v>
      </c>
      <c r="H15" s="464"/>
      <c r="I15" s="484" t="s">
        <v>223</v>
      </c>
      <c r="J15" s="521"/>
      <c r="K15" s="485" t="s">
        <v>224</v>
      </c>
      <c r="L15" s="486" t="s">
        <v>225</v>
      </c>
      <c r="M15" s="521"/>
      <c r="N15" s="487" t="s">
        <v>224</v>
      </c>
      <c r="Q15" s="1269"/>
      <c r="R15" s="1270"/>
      <c r="S15" s="1270"/>
      <c r="T15" s="1270"/>
      <c r="U15" s="1270"/>
      <c r="V15" s="1270"/>
      <c r="W15" s="1270"/>
      <c r="X15" s="1271"/>
    </row>
    <row r="16" spans="1:24" ht="15" customHeight="1" x14ac:dyDescent="0.2">
      <c r="A16" s="172"/>
      <c r="B16" s="462"/>
      <c r="C16" s="240" t="s">
        <v>190</v>
      </c>
      <c r="D16" s="520"/>
      <c r="E16" s="240" t="s">
        <v>22</v>
      </c>
      <c r="F16" s="390"/>
      <c r="G16" s="480" t="s">
        <v>387</v>
      </c>
      <c r="H16" s="464"/>
      <c r="I16" s="1258"/>
      <c r="J16" s="1259"/>
      <c r="K16" s="1259"/>
      <c r="L16" s="1259"/>
      <c r="M16" s="1259"/>
      <c r="N16" s="1260"/>
    </row>
    <row r="17" spans="1:14" ht="15" customHeight="1" x14ac:dyDescent="0.2">
      <c r="A17" s="172">
        <v>508</v>
      </c>
      <c r="B17" s="237" t="s">
        <v>194</v>
      </c>
      <c r="C17" s="240" t="s">
        <v>190</v>
      </c>
      <c r="D17" s="519"/>
      <c r="E17" s="240" t="s">
        <v>22</v>
      </c>
      <c r="F17" s="390">
        <v>4020</v>
      </c>
      <c r="G17" s="480" t="s">
        <v>387</v>
      </c>
      <c r="H17" s="464"/>
      <c r="I17" s="484" t="s">
        <v>223</v>
      </c>
      <c r="J17" s="521"/>
      <c r="K17" s="485" t="s">
        <v>224</v>
      </c>
      <c r="L17" s="486" t="s">
        <v>225</v>
      </c>
      <c r="M17" s="521"/>
      <c r="N17" s="487" t="s">
        <v>224</v>
      </c>
    </row>
    <row r="18" spans="1:14" ht="15" customHeight="1" x14ac:dyDescent="0.2">
      <c r="A18" s="172"/>
      <c r="B18" s="462"/>
      <c r="C18" s="240" t="s">
        <v>190</v>
      </c>
      <c r="D18" s="520"/>
      <c r="E18" s="240" t="s">
        <v>22</v>
      </c>
      <c r="F18" s="390"/>
      <c r="G18" s="480" t="s">
        <v>387</v>
      </c>
      <c r="H18" s="464"/>
      <c r="I18" s="1258"/>
      <c r="J18" s="1259"/>
      <c r="K18" s="1259"/>
      <c r="L18" s="1259"/>
      <c r="M18" s="1259"/>
      <c r="N18" s="1260"/>
    </row>
    <row r="19" spans="1:14" ht="15" customHeight="1" x14ac:dyDescent="0.2">
      <c r="A19" s="172">
        <v>524</v>
      </c>
      <c r="B19" s="237" t="s">
        <v>168</v>
      </c>
      <c r="C19" s="240"/>
      <c r="D19" s="240"/>
      <c r="E19" s="240"/>
      <c r="F19" s="390">
        <v>4100</v>
      </c>
      <c r="G19" s="480" t="s">
        <v>387</v>
      </c>
      <c r="H19" s="464"/>
      <c r="I19" s="1258"/>
      <c r="J19" s="1259"/>
      <c r="K19" s="1259"/>
      <c r="L19" s="1259"/>
      <c r="M19" s="1259"/>
      <c r="N19" s="1260"/>
    </row>
    <row r="20" spans="1:14" ht="15" customHeight="1" x14ac:dyDescent="0.2">
      <c r="A20" s="172">
        <v>522</v>
      </c>
      <c r="B20" s="237" t="s">
        <v>199</v>
      </c>
      <c r="C20" s="240"/>
      <c r="D20" s="240"/>
      <c r="E20" s="240"/>
      <c r="F20" s="390">
        <v>4110</v>
      </c>
      <c r="G20" s="480" t="s">
        <v>387</v>
      </c>
      <c r="H20" s="464"/>
      <c r="I20" s="1258"/>
      <c r="J20" s="1259"/>
      <c r="K20" s="1259"/>
      <c r="L20" s="1259"/>
      <c r="M20" s="1259"/>
      <c r="N20" s="1260"/>
    </row>
    <row r="21" spans="1:14" ht="15" customHeight="1" x14ac:dyDescent="0.2">
      <c r="A21" s="172">
        <v>527</v>
      </c>
      <c r="B21" s="237" t="s">
        <v>200</v>
      </c>
      <c r="C21" s="240"/>
      <c r="D21" s="240"/>
      <c r="E21" s="240"/>
      <c r="F21" s="390">
        <v>4120</v>
      </c>
      <c r="G21" s="480" t="s">
        <v>387</v>
      </c>
      <c r="H21" s="464"/>
      <c r="I21" s="1258"/>
      <c r="J21" s="1259"/>
      <c r="K21" s="1259"/>
      <c r="L21" s="1259"/>
      <c r="M21" s="1259"/>
      <c r="N21" s="1260"/>
    </row>
    <row r="22" spans="1:14" ht="15" customHeight="1" x14ac:dyDescent="0.2">
      <c r="A22" s="172">
        <v>537</v>
      </c>
      <c r="B22" s="237" t="s">
        <v>195</v>
      </c>
      <c r="C22" s="240" t="s">
        <v>190</v>
      </c>
      <c r="D22" s="519"/>
      <c r="E22" s="240" t="s">
        <v>22</v>
      </c>
      <c r="F22" s="390">
        <v>4130</v>
      </c>
      <c r="G22" s="480" t="s">
        <v>387</v>
      </c>
      <c r="H22" s="464"/>
      <c r="I22" s="484" t="s">
        <v>223</v>
      </c>
      <c r="J22" s="522"/>
      <c r="K22" s="485" t="s">
        <v>224</v>
      </c>
      <c r="L22" s="486" t="s">
        <v>225</v>
      </c>
      <c r="M22" s="521"/>
      <c r="N22" s="487" t="s">
        <v>224</v>
      </c>
    </row>
    <row r="23" spans="1:14" ht="15" customHeight="1" x14ac:dyDescent="0.2">
      <c r="A23" s="166"/>
      <c r="B23" s="1236" t="s">
        <v>196</v>
      </c>
      <c r="C23" s="1078"/>
      <c r="D23" s="1078"/>
      <c r="E23" s="1078"/>
      <c r="F23" s="390"/>
      <c r="G23" s="480" t="s">
        <v>387</v>
      </c>
      <c r="H23" s="464"/>
      <c r="I23" s="1237"/>
      <c r="J23" s="1238"/>
      <c r="K23" s="1238"/>
      <c r="L23" s="1238"/>
      <c r="M23" s="1238"/>
      <c r="N23" s="1239"/>
    </row>
    <row r="24" spans="1:14" ht="15" customHeight="1" x14ac:dyDescent="0.2">
      <c r="A24" s="166">
        <v>528</v>
      </c>
      <c r="B24" s="1236" t="s">
        <v>201</v>
      </c>
      <c r="C24" s="1078"/>
      <c r="D24" s="1078"/>
      <c r="E24" s="1078"/>
      <c r="F24" s="390">
        <v>4170</v>
      </c>
      <c r="G24" s="480" t="s">
        <v>387</v>
      </c>
      <c r="H24" s="464"/>
      <c r="I24" s="1237"/>
      <c r="J24" s="1238"/>
      <c r="K24" s="1238"/>
      <c r="L24" s="1238"/>
      <c r="M24" s="1238"/>
      <c r="N24" s="1239"/>
    </row>
    <row r="25" spans="1:14" ht="15" customHeight="1" x14ac:dyDescent="0.2">
      <c r="A25" s="166">
        <v>531</v>
      </c>
      <c r="B25" s="1236" t="s">
        <v>208</v>
      </c>
      <c r="C25" s="1078"/>
      <c r="D25" s="1078"/>
      <c r="E25" s="1078"/>
      <c r="F25" s="390">
        <v>4180</v>
      </c>
      <c r="G25" s="480" t="s">
        <v>387</v>
      </c>
      <c r="H25" s="464"/>
      <c r="I25" s="1237"/>
      <c r="J25" s="1238"/>
      <c r="K25" s="1238"/>
      <c r="L25" s="1238"/>
      <c r="M25" s="1238"/>
      <c r="N25" s="1239"/>
    </row>
    <row r="26" spans="1:14" ht="15" customHeight="1" x14ac:dyDescent="0.2">
      <c r="A26" s="166">
        <v>536</v>
      </c>
      <c r="B26" s="1236" t="s">
        <v>202</v>
      </c>
      <c r="C26" s="1078"/>
      <c r="D26" s="1078"/>
      <c r="E26" s="1078"/>
      <c r="F26" s="390">
        <v>4140</v>
      </c>
      <c r="G26" s="480" t="s">
        <v>387</v>
      </c>
      <c r="H26" s="464"/>
      <c r="I26" s="1237"/>
      <c r="J26" s="1238"/>
      <c r="K26" s="1238"/>
      <c r="L26" s="1238"/>
      <c r="M26" s="1238"/>
      <c r="N26" s="1239"/>
    </row>
    <row r="27" spans="1:14" ht="15" customHeight="1" x14ac:dyDescent="0.2">
      <c r="A27" s="166">
        <v>546</v>
      </c>
      <c r="B27" s="1236" t="s">
        <v>203</v>
      </c>
      <c r="C27" s="1078"/>
      <c r="D27" s="1078"/>
      <c r="E27" s="1078"/>
      <c r="F27" s="390">
        <v>4140</v>
      </c>
      <c r="G27" s="480" t="s">
        <v>387</v>
      </c>
      <c r="H27" s="464"/>
      <c r="I27" s="1237"/>
      <c r="J27" s="1238"/>
      <c r="K27" s="1238"/>
      <c r="L27" s="1238"/>
      <c r="M27" s="1238"/>
      <c r="N27" s="1239"/>
    </row>
    <row r="28" spans="1:14" ht="15" customHeight="1" x14ac:dyDescent="0.2">
      <c r="A28" s="166">
        <v>546</v>
      </c>
      <c r="B28" s="1236" t="s">
        <v>204</v>
      </c>
      <c r="C28" s="1078"/>
      <c r="D28" s="1078"/>
      <c r="E28" s="1078"/>
      <c r="F28" s="390">
        <v>4170</v>
      </c>
      <c r="G28" s="480" t="s">
        <v>387</v>
      </c>
      <c r="H28" s="464"/>
      <c r="I28" s="1237"/>
      <c r="J28" s="1238"/>
      <c r="K28" s="1238"/>
      <c r="L28" s="1238"/>
      <c r="M28" s="1238"/>
      <c r="N28" s="1239"/>
    </row>
    <row r="29" spans="1:14" ht="15" customHeight="1" x14ac:dyDescent="0.2">
      <c r="A29" s="166"/>
      <c r="B29" s="1243"/>
      <c r="C29" s="1244"/>
      <c r="D29" s="1244"/>
      <c r="E29" s="1244"/>
      <c r="F29" s="390"/>
      <c r="G29" s="480" t="s">
        <v>387</v>
      </c>
      <c r="H29" s="464"/>
      <c r="I29" s="1237"/>
      <c r="J29" s="1238"/>
      <c r="K29" s="1238"/>
      <c r="L29" s="1238"/>
      <c r="M29" s="1238"/>
      <c r="N29" s="1239"/>
    </row>
    <row r="30" spans="1:14" ht="15" customHeight="1" x14ac:dyDescent="0.2">
      <c r="A30" s="166">
        <v>554</v>
      </c>
      <c r="B30" s="1236" t="s">
        <v>205</v>
      </c>
      <c r="C30" s="1078"/>
      <c r="D30" s="1078"/>
      <c r="E30" s="1078"/>
      <c r="F30" s="390"/>
      <c r="G30" s="480" t="s">
        <v>387</v>
      </c>
      <c r="H30" s="464"/>
      <c r="I30" s="1237"/>
      <c r="J30" s="1238"/>
      <c r="K30" s="1238"/>
      <c r="L30" s="1238"/>
      <c r="M30" s="1238"/>
      <c r="N30" s="1239"/>
    </row>
    <row r="31" spans="1:14" ht="15" customHeight="1" x14ac:dyDescent="0.2">
      <c r="A31" s="166"/>
      <c r="B31" s="1243"/>
      <c r="C31" s="1244"/>
      <c r="D31" s="1244"/>
      <c r="E31" s="1244"/>
      <c r="F31" s="392"/>
      <c r="G31" s="481" t="s">
        <v>387</v>
      </c>
      <c r="H31" s="464"/>
      <c r="I31" s="1237"/>
      <c r="J31" s="1238"/>
      <c r="K31" s="1238"/>
      <c r="L31" s="1238"/>
      <c r="M31" s="1238"/>
      <c r="N31" s="1239"/>
    </row>
    <row r="32" spans="1:14" ht="15" customHeight="1" x14ac:dyDescent="0.2">
      <c r="A32" s="166">
        <v>521</v>
      </c>
      <c r="B32" s="1236" t="s">
        <v>206</v>
      </c>
      <c r="C32" s="1078"/>
      <c r="D32" s="1078"/>
      <c r="E32" s="1078"/>
      <c r="F32" s="390">
        <v>9500</v>
      </c>
      <c r="G32" s="480" t="s">
        <v>387</v>
      </c>
      <c r="H32" s="464"/>
      <c r="I32" s="1237"/>
      <c r="J32" s="1238"/>
      <c r="K32" s="1238"/>
      <c r="L32" s="1238"/>
      <c r="M32" s="1238"/>
      <c r="N32" s="1239"/>
    </row>
    <row r="33" spans="1:25" ht="15" customHeight="1" thickBot="1" x14ac:dyDescent="0.25">
      <c r="A33" s="166">
        <v>523</v>
      </c>
      <c r="B33" s="1225" t="s">
        <v>207</v>
      </c>
      <c r="C33" s="1098"/>
      <c r="D33" s="1098"/>
      <c r="E33" s="1098"/>
      <c r="F33" s="393">
        <v>9500</v>
      </c>
      <c r="G33" s="480" t="s">
        <v>387</v>
      </c>
      <c r="H33" s="465"/>
      <c r="I33" s="1222"/>
      <c r="J33" s="1223"/>
      <c r="K33" s="1223"/>
      <c r="L33" s="1223"/>
      <c r="M33" s="1223"/>
      <c r="N33" s="1224"/>
    </row>
    <row r="34" spans="1:25" ht="15.75" customHeight="1" thickBot="1" x14ac:dyDescent="0.25">
      <c r="A34" s="189"/>
      <c r="B34" s="1226" t="s">
        <v>184</v>
      </c>
      <c r="C34" s="1227"/>
      <c r="D34" s="1227"/>
      <c r="E34" s="1227"/>
      <c r="F34" s="1227"/>
      <c r="G34" s="482" t="s">
        <v>386</v>
      </c>
      <c r="H34" s="430">
        <f>SUM(H8:H33)</f>
        <v>0</v>
      </c>
      <c r="I34" s="1249"/>
      <c r="J34" s="1250"/>
      <c r="K34" s="1250"/>
      <c r="L34" s="1250"/>
      <c r="M34" s="1250"/>
      <c r="N34" s="1251"/>
    </row>
    <row r="35" spans="1:25" ht="15" customHeight="1" x14ac:dyDescent="0.2">
      <c r="A35" s="166">
        <v>556</v>
      </c>
      <c r="B35" s="1240" t="s">
        <v>209</v>
      </c>
      <c r="C35" s="1094"/>
      <c r="D35" s="1094"/>
      <c r="E35" s="1094"/>
      <c r="F35" s="389">
        <v>9500</v>
      </c>
      <c r="G35" s="480" t="s">
        <v>387</v>
      </c>
      <c r="H35" s="463"/>
      <c r="I35" s="1255"/>
      <c r="J35" s="1256"/>
      <c r="K35" s="1256"/>
      <c r="L35" s="1256"/>
      <c r="M35" s="1256"/>
      <c r="N35" s="1257"/>
      <c r="V35" s="232"/>
    </row>
    <row r="36" spans="1:25" ht="15" customHeight="1" x14ac:dyDescent="0.2">
      <c r="A36" s="166">
        <v>557</v>
      </c>
      <c r="B36" s="1236" t="s">
        <v>210</v>
      </c>
      <c r="C36" s="1078"/>
      <c r="D36" s="1078"/>
      <c r="E36" s="1078"/>
      <c r="F36" s="390">
        <v>9500</v>
      </c>
      <c r="G36" s="480" t="s">
        <v>387</v>
      </c>
      <c r="H36" s="464"/>
      <c r="I36" s="1237"/>
      <c r="J36" s="1238"/>
      <c r="K36" s="1238"/>
      <c r="L36" s="1238"/>
      <c r="M36" s="1238"/>
      <c r="N36" s="1239"/>
    </row>
    <row r="37" spans="1:25" ht="15" customHeight="1" thickBot="1" x14ac:dyDescent="0.25">
      <c r="A37" s="166">
        <v>601</v>
      </c>
      <c r="B37" s="1225" t="s">
        <v>211</v>
      </c>
      <c r="C37" s="1098"/>
      <c r="D37" s="1098"/>
      <c r="E37" s="1098"/>
      <c r="F37" s="393">
        <v>9500</v>
      </c>
      <c r="G37" s="480" t="s">
        <v>387</v>
      </c>
      <c r="H37" s="465"/>
      <c r="I37" s="1237"/>
      <c r="J37" s="1238"/>
      <c r="K37" s="1238"/>
      <c r="L37" s="1238"/>
      <c r="M37" s="1238"/>
      <c r="N37" s="1239"/>
    </row>
    <row r="38" spans="1:25" ht="15" customHeight="1" thickBot="1" x14ac:dyDescent="0.25">
      <c r="A38" s="195"/>
      <c r="B38" s="195" t="s">
        <v>185</v>
      </c>
      <c r="C38" s="191"/>
      <c r="D38" s="191"/>
      <c r="E38" s="191"/>
      <c r="F38" s="191"/>
      <c r="G38" s="482" t="s">
        <v>386</v>
      </c>
      <c r="H38" s="430">
        <f>H34+H35+H36+H37</f>
        <v>0</v>
      </c>
      <c r="I38" s="1237"/>
      <c r="J38" s="1238"/>
      <c r="K38" s="1238"/>
      <c r="L38" s="1238"/>
      <c r="M38" s="1238"/>
      <c r="N38" s="1239"/>
    </row>
    <row r="39" spans="1:25" ht="15" customHeight="1" x14ac:dyDescent="0.2">
      <c r="A39" s="166">
        <v>611</v>
      </c>
      <c r="B39" s="1240" t="s">
        <v>212</v>
      </c>
      <c r="C39" s="1094"/>
      <c r="D39" s="1094"/>
      <c r="E39" s="1094"/>
      <c r="F39" s="389">
        <v>9500</v>
      </c>
      <c r="G39" s="480" t="s">
        <v>387</v>
      </c>
      <c r="H39" s="463"/>
      <c r="I39" s="1237"/>
      <c r="J39" s="1238"/>
      <c r="K39" s="1238"/>
      <c r="L39" s="1238"/>
      <c r="M39" s="1238"/>
      <c r="N39" s="1239"/>
    </row>
    <row r="40" spans="1:25" ht="15" customHeight="1" x14ac:dyDescent="0.2">
      <c r="A40" s="166">
        <v>612</v>
      </c>
      <c r="B40" s="1236" t="s">
        <v>213</v>
      </c>
      <c r="C40" s="1078"/>
      <c r="D40" s="1078"/>
      <c r="E40" s="1078"/>
      <c r="F40" s="390">
        <v>9500</v>
      </c>
      <c r="G40" s="480" t="s">
        <v>387</v>
      </c>
      <c r="H40" s="464"/>
      <c r="I40" s="1237"/>
      <c r="J40" s="1238"/>
      <c r="K40" s="1238"/>
      <c r="L40" s="1238"/>
      <c r="M40" s="1238"/>
      <c r="N40" s="1239"/>
    </row>
    <row r="41" spans="1:25" ht="15" customHeight="1" x14ac:dyDescent="0.2">
      <c r="A41" s="166">
        <v>617</v>
      </c>
      <c r="B41" s="1236" t="s">
        <v>214</v>
      </c>
      <c r="C41" s="1078"/>
      <c r="D41" s="1078"/>
      <c r="E41" s="1078"/>
      <c r="F41" s="390">
        <v>9500</v>
      </c>
      <c r="G41" s="480" t="s">
        <v>387</v>
      </c>
      <c r="H41" s="464"/>
      <c r="I41" s="1237"/>
      <c r="J41" s="1238"/>
      <c r="K41" s="1238"/>
      <c r="L41" s="1238"/>
      <c r="M41" s="1238"/>
      <c r="N41" s="1239"/>
    </row>
    <row r="42" spans="1:25" ht="15" customHeight="1" x14ac:dyDescent="0.2">
      <c r="A42" s="166">
        <v>701</v>
      </c>
      <c r="B42" s="1236" t="s">
        <v>215</v>
      </c>
      <c r="C42" s="1078"/>
      <c r="D42" s="1078"/>
      <c r="E42" s="1078"/>
      <c r="F42" s="390">
        <v>9500</v>
      </c>
      <c r="G42" s="480" t="s">
        <v>387</v>
      </c>
      <c r="H42" s="464"/>
      <c r="I42" s="1237"/>
      <c r="J42" s="1238"/>
      <c r="K42" s="1238"/>
      <c r="L42" s="1238"/>
      <c r="M42" s="1238"/>
      <c r="N42" s="1239"/>
      <c r="Q42" s="8" t="s">
        <v>384</v>
      </c>
      <c r="S42" s="1272"/>
      <c r="T42" s="1273"/>
      <c r="U42" s="1273"/>
      <c r="V42" s="1273"/>
      <c r="W42" s="1273"/>
      <c r="X42" s="1274"/>
    </row>
    <row r="43" spans="1:25" ht="15" customHeight="1" x14ac:dyDescent="0.2">
      <c r="A43" s="166">
        <v>702</v>
      </c>
      <c r="B43" s="1236" t="s">
        <v>216</v>
      </c>
      <c r="C43" s="1078"/>
      <c r="D43" s="1078"/>
      <c r="E43" s="1078"/>
      <c r="F43" s="390">
        <v>9500</v>
      </c>
      <c r="G43" s="480" t="s">
        <v>387</v>
      </c>
      <c r="H43" s="464"/>
      <c r="I43" s="1281"/>
      <c r="J43" s="1282"/>
      <c r="K43" s="1282"/>
      <c r="L43" s="1282"/>
      <c r="M43" s="1282"/>
      <c r="N43" s="1283"/>
      <c r="S43" s="1275"/>
      <c r="T43" s="1276"/>
      <c r="U43" s="1276"/>
      <c r="V43" s="1276"/>
      <c r="W43" s="1276"/>
      <c r="X43" s="1277"/>
    </row>
    <row r="44" spans="1:25" ht="15" customHeight="1" x14ac:dyDescent="0.2">
      <c r="A44" s="166">
        <v>713</v>
      </c>
      <c r="B44" s="1236" t="s">
        <v>217</v>
      </c>
      <c r="C44" s="1078"/>
      <c r="D44" s="1078"/>
      <c r="E44" s="1078"/>
      <c r="F44" s="390">
        <v>9500</v>
      </c>
      <c r="G44" s="480" t="s">
        <v>387</v>
      </c>
      <c r="H44" s="464"/>
      <c r="I44" s="1237"/>
      <c r="J44" s="1238"/>
      <c r="K44" s="1238"/>
      <c r="L44" s="1238"/>
      <c r="M44" s="1238"/>
      <c r="N44" s="1239"/>
      <c r="S44" s="1278"/>
      <c r="T44" s="1279"/>
      <c r="U44" s="1279"/>
      <c r="V44" s="1279"/>
      <c r="W44" s="1279"/>
      <c r="X44" s="1280"/>
    </row>
    <row r="45" spans="1:25" ht="15" customHeight="1" thickBot="1" x14ac:dyDescent="0.25">
      <c r="A45" s="166"/>
      <c r="B45" s="1243"/>
      <c r="C45" s="1244"/>
      <c r="D45" s="1244"/>
      <c r="E45" s="1244"/>
      <c r="F45" s="390"/>
      <c r="G45" s="480" t="s">
        <v>387</v>
      </c>
      <c r="H45" s="464"/>
      <c r="I45" s="1237"/>
      <c r="J45" s="1238"/>
      <c r="K45" s="1238"/>
      <c r="L45" s="1238"/>
      <c r="M45" s="1238"/>
      <c r="N45" s="1239"/>
    </row>
    <row r="46" spans="1:25" ht="15" customHeight="1" thickBot="1" x14ac:dyDescent="0.25">
      <c r="A46" s="166">
        <v>851</v>
      </c>
      <c r="B46" s="1225" t="s">
        <v>218</v>
      </c>
      <c r="C46" s="1098"/>
      <c r="D46" s="1098"/>
      <c r="E46" s="1098"/>
      <c r="F46" s="393">
        <v>9500</v>
      </c>
      <c r="G46" s="480" t="s">
        <v>387</v>
      </c>
      <c r="H46" s="465"/>
      <c r="I46" s="1222"/>
      <c r="J46" s="1223"/>
      <c r="K46" s="1223"/>
      <c r="L46" s="1223"/>
      <c r="M46" s="1223"/>
      <c r="N46" s="1224"/>
      <c r="P46" s="220"/>
      <c r="Q46" s="221"/>
      <c r="R46" s="221"/>
      <c r="S46" s="221"/>
      <c r="T46" s="221"/>
      <c r="U46" s="221"/>
      <c r="V46" s="221"/>
      <c r="W46" s="221"/>
      <c r="X46" s="221"/>
      <c r="Y46" s="222"/>
    </row>
    <row r="47" spans="1:25" ht="20.25" customHeight="1" thickBot="1" x14ac:dyDescent="0.25">
      <c r="A47" s="190"/>
      <c r="B47" s="1226" t="s">
        <v>389</v>
      </c>
      <c r="C47" s="1227"/>
      <c r="D47" s="1227"/>
      <c r="E47" s="191"/>
      <c r="F47" s="191"/>
      <c r="G47" s="482" t="s">
        <v>386</v>
      </c>
      <c r="H47" s="430">
        <f>H38+H39+H40+H41+H42+H43+H44+H45+H46</f>
        <v>0</v>
      </c>
      <c r="I47" s="1241" t="s">
        <v>390</v>
      </c>
      <c r="J47" s="1227"/>
      <c r="K47" s="1227"/>
      <c r="L47" s="1227"/>
      <c r="M47" s="1227"/>
      <c r="N47" s="1242"/>
      <c r="P47" s="223"/>
      <c r="Q47" s="229" t="s">
        <v>539</v>
      </c>
      <c r="R47" s="224"/>
      <c r="S47" s="224"/>
      <c r="T47" s="12"/>
      <c r="U47" s="12"/>
      <c r="V47" s="12"/>
      <c r="W47" s="12"/>
      <c r="X47" s="12"/>
      <c r="Y47" s="225"/>
    </row>
    <row r="48" spans="1:25" ht="15" customHeight="1" thickBot="1" x14ac:dyDescent="0.25">
      <c r="A48" s="438">
        <v>901</v>
      </c>
      <c r="B48" s="1230" t="s">
        <v>219</v>
      </c>
      <c r="C48" s="1231"/>
      <c r="D48" s="1231"/>
      <c r="E48" s="1231"/>
      <c r="F48" s="394">
        <v>9500</v>
      </c>
      <c r="G48" s="480" t="s">
        <v>387</v>
      </c>
      <c r="H48" s="466"/>
      <c r="I48" s="1220"/>
      <c r="J48" s="1221"/>
      <c r="K48" s="1221"/>
      <c r="L48" s="1221"/>
      <c r="M48" s="1221"/>
      <c r="N48" s="192"/>
      <c r="P48" s="223"/>
      <c r="Q48" s="12"/>
      <c r="R48" s="12"/>
      <c r="S48" s="12"/>
      <c r="T48" s="12"/>
      <c r="U48" s="12"/>
      <c r="V48" s="12"/>
      <c r="W48" s="12"/>
      <c r="X48" s="12"/>
      <c r="Y48" s="225"/>
    </row>
    <row r="49" spans="1:25" ht="16.5" customHeight="1" thickBot="1" x14ac:dyDescent="0.25">
      <c r="A49" s="189"/>
      <c r="B49" s="1226" t="s">
        <v>186</v>
      </c>
      <c r="C49" s="1227"/>
      <c r="D49" s="191"/>
      <c r="E49" s="191"/>
      <c r="F49" s="191"/>
      <c r="G49" s="482" t="s">
        <v>386</v>
      </c>
      <c r="H49" s="430">
        <f>SUM(H47:H48)</f>
        <v>0</v>
      </c>
      <c r="I49" s="54"/>
      <c r="J49" s="54"/>
      <c r="K49" s="54"/>
      <c r="L49" s="54"/>
      <c r="M49" s="54"/>
      <c r="N49" s="63"/>
      <c r="P49" s="223"/>
      <c r="Q49" s="12"/>
      <c r="R49" s="12"/>
      <c r="S49" s="12"/>
      <c r="T49" s="12"/>
      <c r="U49" s="12"/>
      <c r="V49" s="12"/>
      <c r="W49" s="12"/>
      <c r="X49" s="12"/>
      <c r="Y49" s="225"/>
    </row>
    <row r="50" spans="1:25" ht="15" customHeight="1" thickBot="1" x14ac:dyDescent="0.3">
      <c r="A50" s="166">
        <v>902</v>
      </c>
      <c r="B50" s="1240" t="s">
        <v>220</v>
      </c>
      <c r="C50" s="1094"/>
      <c r="D50" s="1094"/>
      <c r="E50" s="1094"/>
      <c r="F50" s="389">
        <v>9500</v>
      </c>
      <c r="G50" s="480" t="s">
        <v>387</v>
      </c>
      <c r="H50" s="466"/>
      <c r="I50" s="49"/>
      <c r="J50" s="49"/>
      <c r="K50" s="49"/>
      <c r="L50" s="49"/>
      <c r="M50" s="49"/>
      <c r="N50" s="193"/>
      <c r="P50" s="223"/>
      <c r="Q50" s="517" t="s">
        <v>540</v>
      </c>
      <c r="R50" s="12"/>
      <c r="S50" s="12"/>
      <c r="T50" s="467"/>
      <c r="U50" s="12"/>
      <c r="V50" s="231" t="s">
        <v>471</v>
      </c>
      <c r="W50" s="12"/>
      <c r="X50" s="434">
        <f>H53-T50</f>
        <v>0</v>
      </c>
      <c r="Y50" s="225"/>
    </row>
    <row r="51" spans="1:25" ht="15" customHeight="1" thickBot="1" x14ac:dyDescent="0.3">
      <c r="A51" s="166">
        <v>903</v>
      </c>
      <c r="B51" s="1225" t="s">
        <v>221</v>
      </c>
      <c r="C51" s="1098"/>
      <c r="D51" s="1098"/>
      <c r="E51" s="1098"/>
      <c r="F51" s="393">
        <v>9500</v>
      </c>
      <c r="G51" s="480" t="s">
        <v>387</v>
      </c>
      <c r="H51" s="466"/>
      <c r="I51" s="48"/>
      <c r="J51" s="48"/>
      <c r="K51" s="48"/>
      <c r="L51" s="48"/>
      <c r="M51" s="48"/>
      <c r="N51" s="194"/>
      <c r="P51" s="226"/>
      <c r="Q51" s="517" t="s">
        <v>541</v>
      </c>
      <c r="R51" s="12"/>
      <c r="S51" s="12"/>
      <c r="T51" s="467"/>
      <c r="U51" s="12"/>
      <c r="V51" s="231" t="s">
        <v>472</v>
      </c>
      <c r="W51" s="12"/>
      <c r="X51" s="434">
        <f>H54-T51</f>
        <v>0</v>
      </c>
      <c r="Y51" s="225"/>
    </row>
    <row r="52" spans="1:25" ht="15.75" customHeight="1" thickBot="1" x14ac:dyDescent="0.3">
      <c r="A52" s="195"/>
      <c r="B52" s="1226" t="s">
        <v>187</v>
      </c>
      <c r="C52" s="1227"/>
      <c r="D52" s="1227"/>
      <c r="E52" s="191"/>
      <c r="F52" s="191"/>
      <c r="G52" s="482" t="s">
        <v>386</v>
      </c>
      <c r="H52" s="430">
        <f>SUM(H49:H51)</f>
        <v>0</v>
      </c>
      <c r="I52" s="54"/>
      <c r="J52" s="54"/>
      <c r="K52" s="54"/>
      <c r="L52" s="54"/>
      <c r="M52" s="54"/>
      <c r="N52" s="63"/>
      <c r="P52" s="226"/>
      <c r="Q52" s="12"/>
      <c r="R52" s="12"/>
      <c r="S52" s="12"/>
      <c r="T52" s="431"/>
      <c r="U52" s="12"/>
      <c r="V52" s="12"/>
      <c r="W52" s="12"/>
      <c r="X52" s="431"/>
      <c r="Y52" s="225"/>
    </row>
    <row r="53" spans="1:25" ht="17.25" customHeight="1" thickBot="1" x14ac:dyDescent="0.3">
      <c r="A53" s="166">
        <v>904</v>
      </c>
      <c r="B53" s="1230" t="s">
        <v>222</v>
      </c>
      <c r="C53" s="1231"/>
      <c r="D53" s="1231"/>
      <c r="E53" s="1231"/>
      <c r="F53" s="395">
        <v>9500</v>
      </c>
      <c r="G53" s="480" t="s">
        <v>388</v>
      </c>
      <c r="H53" s="466"/>
      <c r="I53" s="436" t="s">
        <v>358</v>
      </c>
      <c r="J53" s="1232" t="str">
        <f>IF(X50&gt;=0,"+","-")</f>
        <v>+</v>
      </c>
      <c r="K53" s="1233"/>
      <c r="L53" s="435">
        <f>X50</f>
        <v>0</v>
      </c>
      <c r="M53" s="1234"/>
      <c r="N53" s="1235"/>
      <c r="P53" s="226"/>
      <c r="Q53" s="657" t="s">
        <v>542</v>
      </c>
      <c r="R53" s="12"/>
      <c r="S53" s="12"/>
      <c r="T53" s="433">
        <f>T50+T51</f>
        <v>0</v>
      </c>
      <c r="U53" s="12"/>
      <c r="V53" s="233"/>
      <c r="W53" s="12"/>
      <c r="X53" s="432">
        <f>X50+X51</f>
        <v>0</v>
      </c>
      <c r="Y53" s="225"/>
    </row>
    <row r="54" spans="1:25" ht="17.25" customHeight="1" thickBot="1" x14ac:dyDescent="0.25">
      <c r="A54" s="162"/>
      <c r="B54" s="1194" t="s">
        <v>188</v>
      </c>
      <c r="C54" s="1195"/>
      <c r="D54" s="164"/>
      <c r="E54" s="164"/>
      <c r="F54" s="164"/>
      <c r="G54" s="483" t="s">
        <v>386</v>
      </c>
      <c r="H54" s="430">
        <f>(H52-H53)</f>
        <v>0</v>
      </c>
      <c r="I54" s="437" t="s">
        <v>358</v>
      </c>
      <c r="J54" s="1232" t="str">
        <f>IF(X51&gt;=0,"+","-")</f>
        <v>+</v>
      </c>
      <c r="K54" s="1233"/>
      <c r="L54" s="435">
        <f>X51</f>
        <v>0</v>
      </c>
      <c r="M54" s="1228"/>
      <c r="N54" s="1229"/>
      <c r="O54" s="51"/>
      <c r="P54" s="230"/>
      <c r="Q54" s="227"/>
      <c r="R54" s="227"/>
      <c r="S54" s="227"/>
      <c r="T54" s="227"/>
      <c r="U54" s="227"/>
      <c r="V54" s="227"/>
      <c r="W54" s="227"/>
      <c r="X54" s="227"/>
      <c r="Y54" s="228"/>
    </row>
    <row r="55" spans="1:25" ht="8.25" customHeight="1" x14ac:dyDescent="0.2">
      <c r="A55" s="52"/>
      <c r="B55" s="52"/>
      <c r="C55" s="52"/>
      <c r="D55" s="52"/>
      <c r="E55" s="52"/>
      <c r="F55" s="52"/>
      <c r="G55" s="476"/>
      <c r="H55" s="53"/>
      <c r="I55" s="50"/>
      <c r="J55" s="50"/>
      <c r="K55" s="50"/>
      <c r="L55" s="50"/>
      <c r="M55" s="50"/>
      <c r="N55" s="50"/>
      <c r="O55" s="51"/>
    </row>
  </sheetData>
  <sheetProtection sheet="1"/>
  <protectedRanges>
    <protectedRange sqref="S42:X44" name="Bereich3"/>
    <protectedRange sqref="T51" name="Bereich2"/>
    <protectedRange sqref="T50" name="Bereich1"/>
  </protectedRanges>
  <customSheetViews>
    <customSheetView guid="{B919D2EB-D122-4E25-8E52-25BE88B69D9E}" scale="85" showPageBreaks="1" showGridLines="0" zeroValues="0" printArea="1" topLeftCell="A19">
      <selection activeCell="Q59" sqref="Q59"/>
      <pageMargins left="0.5" right="0.19" top="0.39370078740157483" bottom="0" header="0.39370078740157483" footer="0"/>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79">
    <mergeCell ref="S42:X44"/>
    <mergeCell ref="I36:N36"/>
    <mergeCell ref="I31:N31"/>
    <mergeCell ref="I26:N26"/>
    <mergeCell ref="I41:N41"/>
    <mergeCell ref="I39:N39"/>
    <mergeCell ref="I35:N35"/>
    <mergeCell ref="I42:N42"/>
    <mergeCell ref="I43:N43"/>
    <mergeCell ref="I37:N37"/>
    <mergeCell ref="Q8:V9"/>
    <mergeCell ref="I27:N27"/>
    <mergeCell ref="I24:N24"/>
    <mergeCell ref="Q10:X12"/>
    <mergeCell ref="Q13:X15"/>
    <mergeCell ref="I23:N23"/>
    <mergeCell ref="I19:N19"/>
    <mergeCell ref="I18:N18"/>
    <mergeCell ref="I21:N21"/>
    <mergeCell ref="I12:N12"/>
    <mergeCell ref="I33:N33"/>
    <mergeCell ref="I7:N7"/>
    <mergeCell ref="I8:N8"/>
    <mergeCell ref="I9:N9"/>
    <mergeCell ref="I10:N10"/>
    <mergeCell ref="I16:N16"/>
    <mergeCell ref="I32:N32"/>
    <mergeCell ref="I29:N29"/>
    <mergeCell ref="I20:N20"/>
    <mergeCell ref="B27:E27"/>
    <mergeCell ref="B31:E31"/>
    <mergeCell ref="I25:N25"/>
    <mergeCell ref="I28:N28"/>
    <mergeCell ref="I40:N40"/>
    <mergeCell ref="B29:E29"/>
    <mergeCell ref="I30:N30"/>
    <mergeCell ref="I34:N34"/>
    <mergeCell ref="I38:N38"/>
    <mergeCell ref="B36:E36"/>
    <mergeCell ref="B32:E32"/>
    <mergeCell ref="B7:F7"/>
    <mergeCell ref="B8:E8"/>
    <mergeCell ref="B9:E9"/>
    <mergeCell ref="B10:E10"/>
    <mergeCell ref="B28:E28"/>
    <mergeCell ref="B26:E26"/>
    <mergeCell ref="B23:E23"/>
    <mergeCell ref="B24:E24"/>
    <mergeCell ref="B25:E25"/>
    <mergeCell ref="B45:E45"/>
    <mergeCell ref="B30:E30"/>
    <mergeCell ref="B42:E42"/>
    <mergeCell ref="B40:E40"/>
    <mergeCell ref="B37:E37"/>
    <mergeCell ref="B39:E39"/>
    <mergeCell ref="B33:E33"/>
    <mergeCell ref="B35:E35"/>
    <mergeCell ref="B41:E41"/>
    <mergeCell ref="B34:F34"/>
    <mergeCell ref="J53:K53"/>
    <mergeCell ref="B47:D47"/>
    <mergeCell ref="B43:E43"/>
    <mergeCell ref="B44:E44"/>
    <mergeCell ref="I44:N44"/>
    <mergeCell ref="B50:E50"/>
    <mergeCell ref="B53:E53"/>
    <mergeCell ref="I45:N45"/>
    <mergeCell ref="I47:N47"/>
    <mergeCell ref="B46:E46"/>
    <mergeCell ref="I48:M48"/>
    <mergeCell ref="I46:N46"/>
    <mergeCell ref="B51:E51"/>
    <mergeCell ref="B52:D52"/>
    <mergeCell ref="M54:N54"/>
    <mergeCell ref="B54:C54"/>
    <mergeCell ref="B48:E48"/>
    <mergeCell ref="B49:C49"/>
    <mergeCell ref="J54:K54"/>
    <mergeCell ref="M53:N53"/>
  </mergeCells>
  <phoneticPr fontId="16" type="noConversion"/>
  <pageMargins left="0.51181102362204722" right="0.19685039370078741" top="0.39370078740157483" bottom="0" header="0.39370078740157483" footer="0"/>
  <pageSetup paperSize="9" orientation="portrait" blackAndWhite="1" r:id="rId2"/>
  <headerFooter alignWithMargins="0">
    <oddFooter>&amp;C&amp;8(C) Lerch Treuhand AG, Itingen</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3319" r:id="rId5" name="Check Box 7">
              <controlPr defaultSize="0" autoFill="0" autoLine="0" autoPict="0">
                <anchor moveWithCells="1">
                  <from>
                    <xdr:col>8</xdr:col>
                    <xdr:colOff>161925</xdr:colOff>
                    <xdr:row>48</xdr:row>
                    <xdr:rowOff>57150</xdr:rowOff>
                  </from>
                  <to>
                    <xdr:col>11</xdr:col>
                    <xdr:colOff>923925</xdr:colOff>
                    <xdr:row>49</xdr:row>
                    <xdr:rowOff>57150</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12</xdr:col>
                    <xdr:colOff>123825</xdr:colOff>
                    <xdr:row>44</xdr:row>
                    <xdr:rowOff>104775</xdr:rowOff>
                  </from>
                  <to>
                    <xdr:col>13</xdr:col>
                    <xdr:colOff>257175</xdr:colOff>
                    <xdr:row>45</xdr:row>
                    <xdr:rowOff>133350</xdr:rowOff>
                  </to>
                </anchor>
              </controlPr>
            </control>
          </mc:Choice>
        </mc:AlternateContent>
        <mc:AlternateContent xmlns:mc="http://schemas.openxmlformats.org/markup-compatibility/2006">
          <mc:Choice Requires="x14">
            <control shapeId="13340" r:id="rId7" name="Check Box 28">
              <controlPr defaultSize="0" autoFill="0" autoLine="0" autoPict="0">
                <anchor moveWithCells="1">
                  <from>
                    <xdr:col>8</xdr:col>
                    <xdr:colOff>161925</xdr:colOff>
                    <xdr:row>49</xdr:row>
                    <xdr:rowOff>85725</xdr:rowOff>
                  </from>
                  <to>
                    <xdr:col>11</xdr:col>
                    <xdr:colOff>923925</xdr:colOff>
                    <xdr:row>50</xdr:row>
                    <xdr:rowOff>133350</xdr:rowOff>
                  </to>
                </anchor>
              </controlPr>
            </control>
          </mc:Choice>
        </mc:AlternateContent>
        <mc:AlternateContent xmlns:mc="http://schemas.openxmlformats.org/markup-compatibility/2006">
          <mc:Choice Requires="x14">
            <control shapeId="14286" r:id="rId8" name="Check Box 974">
              <controlPr defaultSize="0" autoFill="0" autoLine="0" autoPict="0">
                <anchor moveWithCells="1">
                  <from>
                    <xdr:col>8</xdr:col>
                    <xdr:colOff>152400</xdr:colOff>
                    <xdr:row>47</xdr:row>
                    <xdr:rowOff>28575</xdr:rowOff>
                  </from>
                  <to>
                    <xdr:col>11</xdr:col>
                    <xdr:colOff>933450</xdr:colOff>
                    <xdr:row>48</xdr:row>
                    <xdr:rowOff>38100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5D2BA-B845-4BA2-8E78-15476B36D229}">
  <sheetPr codeName="Tabelle15">
    <tabColor indexed="10"/>
  </sheetPr>
  <dimension ref="A1:J44"/>
  <sheetViews>
    <sheetView showGridLines="0" showZeros="0" zoomScale="90" workbookViewId="0">
      <selection activeCell="M5" sqref="M5"/>
    </sheetView>
  </sheetViews>
  <sheetFormatPr baseColWidth="10" defaultRowHeight="12.75" x14ac:dyDescent="0.2"/>
  <cols>
    <col min="1" max="1" width="34.42578125" customWidth="1"/>
    <col min="2" max="2" width="10.5703125" customWidth="1"/>
    <col min="3" max="3" width="8.28515625" customWidth="1"/>
    <col min="4" max="4" width="5.5703125" customWidth="1"/>
    <col min="5" max="5" width="10.140625" customWidth="1"/>
    <col min="6" max="6" width="1.5703125" customWidth="1"/>
    <col min="7" max="7" width="9.42578125" customWidth="1"/>
    <col min="8" max="8" width="8.28515625" customWidth="1"/>
    <col min="9" max="9" width="1.7109375" customWidth="1"/>
    <col min="10" max="10" width="7.42578125" customWidth="1"/>
  </cols>
  <sheetData>
    <row r="1" spans="1:10" ht="23.25" x14ac:dyDescent="0.35">
      <c r="A1" s="762">
        <f>DECKBLATT!B14</f>
        <v>0</v>
      </c>
    </row>
    <row r="2" spans="1:10" ht="18" x14ac:dyDescent="0.35">
      <c r="B2" s="211"/>
      <c r="C2" s="211"/>
    </row>
    <row r="3" spans="1:10" ht="27" customHeight="1" x14ac:dyDescent="0.4">
      <c r="A3" s="539" t="s">
        <v>343</v>
      </c>
      <c r="H3" s="1321">
        <f>DECKBLATT!B11</f>
        <v>46022</v>
      </c>
      <c r="I3" s="1321"/>
      <c r="J3" s="1321"/>
    </row>
    <row r="4" spans="1:10" x14ac:dyDescent="0.2">
      <c r="A4" s="6"/>
    </row>
    <row r="5" spans="1:10" ht="12.75" customHeight="1" x14ac:dyDescent="0.2">
      <c r="A5" s="1291" t="s">
        <v>226</v>
      </c>
      <c r="B5" s="1293" t="s">
        <v>227</v>
      </c>
      <c r="C5" s="1293" t="s">
        <v>243</v>
      </c>
      <c r="D5" s="1293" t="s">
        <v>228</v>
      </c>
      <c r="E5" s="1285" t="s">
        <v>244</v>
      </c>
      <c r="F5" s="196"/>
      <c r="G5" s="1288" t="s">
        <v>229</v>
      </c>
      <c r="H5" s="1289"/>
      <c r="I5" s="199"/>
      <c r="J5" s="1284" t="s">
        <v>230</v>
      </c>
    </row>
    <row r="6" spans="1:10" ht="8.25" customHeight="1" x14ac:dyDescent="0.2">
      <c r="A6" s="1292"/>
      <c r="B6" s="1294"/>
      <c r="C6" s="1294"/>
      <c r="D6" s="1294"/>
      <c r="E6" s="1285"/>
      <c r="F6" s="197"/>
      <c r="G6" s="1286" t="s">
        <v>231</v>
      </c>
      <c r="H6" s="1286" t="s">
        <v>232</v>
      </c>
      <c r="I6" s="1286"/>
      <c r="J6" s="1285"/>
    </row>
    <row r="7" spans="1:10" ht="17.25" customHeight="1" x14ac:dyDescent="0.2">
      <c r="A7" s="200" t="s">
        <v>344</v>
      </c>
      <c r="B7" s="1295"/>
      <c r="C7" s="1295"/>
      <c r="D7" s="1295"/>
      <c r="E7" s="1285"/>
      <c r="F7" s="198"/>
      <c r="G7" s="1287"/>
      <c r="H7" s="1287"/>
      <c r="I7" s="1287"/>
      <c r="J7" s="1285"/>
    </row>
    <row r="8" spans="1:10" s="18" customFormat="1" ht="19.5" customHeight="1" x14ac:dyDescent="0.2">
      <c r="A8" s="398" t="s">
        <v>233</v>
      </c>
      <c r="B8" s="526"/>
      <c r="C8" s="527"/>
      <c r="D8" s="399"/>
      <c r="E8" s="400"/>
      <c r="F8" s="201"/>
      <c r="G8" s="528"/>
      <c r="H8" s="1296"/>
      <c r="I8" s="1296"/>
      <c r="J8" s="411">
        <f>IF(G8&gt;300,1,(1/300*G8))</f>
        <v>0</v>
      </c>
    </row>
    <row r="9" spans="1:10" s="18" customFormat="1" ht="19.5" customHeight="1" x14ac:dyDescent="0.2">
      <c r="A9" s="401" t="s">
        <v>234</v>
      </c>
      <c r="B9" s="524"/>
      <c r="C9" s="525"/>
      <c r="D9" s="402"/>
      <c r="E9" s="403"/>
      <c r="F9" s="201"/>
      <c r="G9" s="529"/>
      <c r="H9" s="1297"/>
      <c r="I9" s="1297"/>
      <c r="J9" s="412">
        <f t="shared" ref="J9:J18" si="0">IF(G9&gt;300,1,(1/300*G9))</f>
        <v>0</v>
      </c>
    </row>
    <row r="10" spans="1:10" s="18" customFormat="1" ht="19.5" customHeight="1" x14ac:dyDescent="0.2">
      <c r="A10" s="404" t="s">
        <v>235</v>
      </c>
      <c r="B10" s="405"/>
      <c r="C10" s="406"/>
      <c r="D10" s="402"/>
      <c r="E10" s="403"/>
      <c r="F10" s="201"/>
      <c r="G10" s="413"/>
      <c r="H10" s="1290"/>
      <c r="I10" s="1290"/>
      <c r="J10" s="412"/>
    </row>
    <row r="11" spans="1:10" s="18" customFormat="1" ht="19.5" customHeight="1" x14ac:dyDescent="0.2">
      <c r="A11" s="523"/>
      <c r="B11" s="524"/>
      <c r="C11" s="525"/>
      <c r="D11" s="402"/>
      <c r="E11" s="403"/>
      <c r="F11" s="201"/>
      <c r="G11" s="530"/>
      <c r="H11" s="1290"/>
      <c r="I11" s="1290"/>
      <c r="J11" s="412">
        <f>IF(G11&gt;300,1,(1/300*G11))</f>
        <v>0</v>
      </c>
    </row>
    <row r="12" spans="1:10" s="18" customFormat="1" ht="19.5" customHeight="1" x14ac:dyDescent="0.2">
      <c r="A12" s="523"/>
      <c r="B12" s="524"/>
      <c r="C12" s="525"/>
      <c r="D12" s="402"/>
      <c r="E12" s="403"/>
      <c r="F12" s="201"/>
      <c r="G12" s="530"/>
      <c r="H12" s="1290"/>
      <c r="I12" s="1290"/>
      <c r="J12" s="412">
        <f t="shared" si="0"/>
        <v>0</v>
      </c>
    </row>
    <row r="13" spans="1:10" s="18" customFormat="1" ht="19.5" customHeight="1" x14ac:dyDescent="0.2">
      <c r="A13" s="523"/>
      <c r="B13" s="524"/>
      <c r="C13" s="525"/>
      <c r="D13" s="402"/>
      <c r="E13" s="403"/>
      <c r="F13" s="201"/>
      <c r="G13" s="530"/>
      <c r="H13" s="1290"/>
      <c r="I13" s="1290"/>
      <c r="J13" s="412">
        <f t="shared" si="0"/>
        <v>0</v>
      </c>
    </row>
    <row r="14" spans="1:10" s="18" customFormat="1" ht="19.5" customHeight="1" x14ac:dyDescent="0.2">
      <c r="A14" s="523"/>
      <c r="B14" s="524"/>
      <c r="C14" s="525"/>
      <c r="D14" s="402"/>
      <c r="E14" s="403"/>
      <c r="F14" s="201"/>
      <c r="G14" s="530"/>
      <c r="H14" s="1290"/>
      <c r="I14" s="1290"/>
      <c r="J14" s="412">
        <f t="shared" si="0"/>
        <v>0</v>
      </c>
    </row>
    <row r="15" spans="1:10" s="18" customFormat="1" ht="19.5" customHeight="1" x14ac:dyDescent="0.2">
      <c r="A15" s="523"/>
      <c r="B15" s="524"/>
      <c r="C15" s="525"/>
      <c r="D15" s="402"/>
      <c r="E15" s="403"/>
      <c r="F15" s="201"/>
      <c r="G15" s="530"/>
      <c r="H15" s="1290"/>
      <c r="I15" s="1290"/>
      <c r="J15" s="412">
        <f t="shared" si="0"/>
        <v>0</v>
      </c>
    </row>
    <row r="16" spans="1:10" s="18" customFormat="1" ht="19.5" customHeight="1" x14ac:dyDescent="0.2">
      <c r="A16" s="523"/>
      <c r="B16" s="524"/>
      <c r="C16" s="525"/>
      <c r="D16" s="402"/>
      <c r="E16" s="403"/>
      <c r="F16" s="201"/>
      <c r="G16" s="530"/>
      <c r="H16" s="1290"/>
      <c r="I16" s="1290"/>
      <c r="J16" s="412">
        <f t="shared" si="0"/>
        <v>0</v>
      </c>
    </row>
    <row r="17" spans="1:10" s="18" customFormat="1" ht="19.5" customHeight="1" x14ac:dyDescent="0.2">
      <c r="A17" s="523"/>
      <c r="B17" s="524"/>
      <c r="C17" s="525"/>
      <c r="D17" s="402"/>
      <c r="E17" s="403"/>
      <c r="F17" s="201"/>
      <c r="G17" s="530"/>
      <c r="H17" s="1290"/>
      <c r="I17" s="1290"/>
      <c r="J17" s="412">
        <f t="shared" si="0"/>
        <v>0</v>
      </c>
    </row>
    <row r="18" spans="1:10" s="18" customFormat="1" ht="19.5" customHeight="1" x14ac:dyDescent="0.2">
      <c r="A18" s="523"/>
      <c r="B18" s="524"/>
      <c r="C18" s="525"/>
      <c r="D18" s="402"/>
      <c r="E18" s="403"/>
      <c r="F18" s="201"/>
      <c r="G18" s="530"/>
      <c r="H18" s="1290"/>
      <c r="I18" s="1290"/>
      <c r="J18" s="412">
        <f t="shared" si="0"/>
        <v>0</v>
      </c>
    </row>
    <row r="19" spans="1:10" s="18" customFormat="1" ht="19.5" customHeight="1" x14ac:dyDescent="0.2">
      <c r="A19" s="404" t="s">
        <v>236</v>
      </c>
      <c r="B19" s="407"/>
      <c r="C19" s="406"/>
      <c r="D19" s="402"/>
      <c r="E19" s="403"/>
      <c r="F19" s="201"/>
      <c r="G19" s="413"/>
      <c r="H19" s="1290"/>
      <c r="I19" s="1290"/>
      <c r="J19" s="414"/>
    </row>
    <row r="20" spans="1:10" s="18" customFormat="1" ht="19.5" customHeight="1" x14ac:dyDescent="0.2">
      <c r="A20" s="531"/>
      <c r="B20" s="407"/>
      <c r="C20" s="525"/>
      <c r="D20" s="402"/>
      <c r="E20" s="403"/>
      <c r="F20" s="201"/>
      <c r="G20" s="413"/>
      <c r="H20" s="1290"/>
      <c r="I20" s="1290"/>
      <c r="J20" s="414"/>
    </row>
    <row r="21" spans="1:10" s="18" customFormat="1" ht="19.5" customHeight="1" x14ac:dyDescent="0.2">
      <c r="A21" s="531"/>
      <c r="B21" s="407"/>
      <c r="C21" s="525"/>
      <c r="D21" s="402"/>
      <c r="E21" s="403"/>
      <c r="F21" s="201"/>
      <c r="G21" s="413"/>
      <c r="H21" s="1290"/>
      <c r="I21" s="1290"/>
      <c r="J21" s="414"/>
    </row>
    <row r="22" spans="1:10" s="18" customFormat="1" ht="19.5" customHeight="1" x14ac:dyDescent="0.2">
      <c r="A22" s="531"/>
      <c r="B22" s="407"/>
      <c r="C22" s="525"/>
      <c r="D22" s="402"/>
      <c r="E22" s="403"/>
      <c r="F22" s="201"/>
      <c r="G22" s="413"/>
      <c r="H22" s="1290"/>
      <c r="I22" s="1290"/>
      <c r="J22" s="414"/>
    </row>
    <row r="23" spans="1:10" s="18" customFormat="1" ht="19.5" customHeight="1" x14ac:dyDescent="0.2">
      <c r="A23" s="404" t="s">
        <v>237</v>
      </c>
      <c r="B23" s="407"/>
      <c r="C23" s="406"/>
      <c r="D23" s="402"/>
      <c r="E23" s="403"/>
      <c r="F23" s="201"/>
      <c r="G23" s="413"/>
      <c r="H23" s="1290"/>
      <c r="I23" s="1290"/>
      <c r="J23" s="414"/>
    </row>
    <row r="24" spans="1:10" s="18" customFormat="1" ht="19.5" customHeight="1" x14ac:dyDescent="0.2">
      <c r="A24" s="531"/>
      <c r="B24" s="407"/>
      <c r="C24" s="525"/>
      <c r="D24" s="402"/>
      <c r="E24" s="403"/>
      <c r="F24" s="201"/>
      <c r="G24" s="413"/>
      <c r="H24" s="1290"/>
      <c r="I24" s="1290"/>
      <c r="J24" s="414"/>
    </row>
    <row r="25" spans="1:10" s="18" customFormat="1" ht="19.5" customHeight="1" x14ac:dyDescent="0.2">
      <c r="A25" s="404" t="s">
        <v>238</v>
      </c>
      <c r="B25" s="407"/>
      <c r="C25" s="406"/>
      <c r="D25" s="402"/>
      <c r="E25" s="403"/>
      <c r="F25" s="201"/>
      <c r="G25" s="413"/>
      <c r="H25" s="1290"/>
      <c r="I25" s="1290"/>
      <c r="J25" s="414"/>
    </row>
    <row r="26" spans="1:10" s="18" customFormat="1" ht="19.5" customHeight="1" thickBot="1" x14ac:dyDescent="0.25">
      <c r="A26" s="532"/>
      <c r="B26" s="408"/>
      <c r="C26" s="533"/>
      <c r="D26" s="409"/>
      <c r="E26" s="410"/>
      <c r="F26" s="201"/>
      <c r="G26" s="415"/>
      <c r="H26" s="1311"/>
      <c r="I26" s="1311"/>
      <c r="J26" s="416"/>
    </row>
    <row r="27" spans="1:10" s="18" customFormat="1" ht="19.5" customHeight="1" thickBot="1" x14ac:dyDescent="0.25">
      <c r="A27" s="1307" t="s">
        <v>239</v>
      </c>
      <c r="B27" s="1307"/>
      <c r="C27" s="1307"/>
      <c r="D27" s="1308"/>
      <c r="E27" s="117"/>
      <c r="F27" s="202"/>
      <c r="G27" s="1309"/>
      <c r="H27" s="1309"/>
      <c r="I27" s="1310"/>
      <c r="J27" s="206">
        <f>SUM(J8:J26)</f>
        <v>0</v>
      </c>
    </row>
    <row r="28" spans="1:10" s="12" customFormat="1" x14ac:dyDescent="0.2">
      <c r="A28" s="1312"/>
      <c r="B28" s="1312"/>
      <c r="C28" s="1312"/>
      <c r="D28" s="1312"/>
      <c r="E28" s="1312"/>
      <c r="F28" s="131"/>
      <c r="G28" s="1300"/>
      <c r="H28" s="1300"/>
      <c r="I28" s="1300"/>
      <c r="J28" s="1300"/>
    </row>
    <row r="29" spans="1:10" ht="15" x14ac:dyDescent="0.25">
      <c r="A29" s="1301" t="s">
        <v>315</v>
      </c>
      <c r="B29" s="1302"/>
      <c r="C29" s="1302"/>
      <c r="D29" s="1302"/>
      <c r="E29" s="1303"/>
      <c r="F29" s="203"/>
      <c r="G29" s="1304"/>
      <c r="H29" s="1305"/>
      <c r="I29" s="1305"/>
      <c r="J29" s="1306"/>
    </row>
    <row r="30" spans="1:10" s="18" customFormat="1" ht="19.5" customHeight="1" x14ac:dyDescent="0.2">
      <c r="A30" s="534"/>
      <c r="B30" s="526"/>
      <c r="C30" s="527"/>
      <c r="D30" s="417"/>
      <c r="E30" s="411"/>
      <c r="F30" s="201"/>
      <c r="G30" s="535"/>
      <c r="H30" s="417"/>
      <c r="I30" s="1324">
        <f>IF(G30&gt;300,1,(1/300)*G30)</f>
        <v>0</v>
      </c>
      <c r="J30" s="1325"/>
    </row>
    <row r="31" spans="1:10" s="18" customFormat="1" ht="19.5" customHeight="1" x14ac:dyDescent="0.2">
      <c r="A31" s="531"/>
      <c r="B31" s="524"/>
      <c r="C31" s="525"/>
      <c r="D31" s="418"/>
      <c r="E31" s="412"/>
      <c r="F31" s="201"/>
      <c r="G31" s="530"/>
      <c r="H31" s="418"/>
      <c r="I31" s="1298">
        <f t="shared" ref="I31:I39" si="1">IF(G31&gt;300,1,(1/300)*G31)</f>
        <v>0</v>
      </c>
      <c r="J31" s="1299"/>
    </row>
    <row r="32" spans="1:10" s="18" customFormat="1" ht="19.5" customHeight="1" x14ac:dyDescent="0.2">
      <c r="A32" s="531"/>
      <c r="B32" s="524"/>
      <c r="C32" s="525"/>
      <c r="D32" s="418"/>
      <c r="E32" s="412"/>
      <c r="F32" s="201"/>
      <c r="G32" s="530"/>
      <c r="H32" s="418"/>
      <c r="I32" s="1298">
        <f t="shared" si="1"/>
        <v>0</v>
      </c>
      <c r="J32" s="1299"/>
    </row>
    <row r="33" spans="1:10" s="18" customFormat="1" ht="19.5" customHeight="1" x14ac:dyDescent="0.2">
      <c r="A33" s="531"/>
      <c r="B33" s="524"/>
      <c r="C33" s="525"/>
      <c r="D33" s="418"/>
      <c r="E33" s="412"/>
      <c r="F33" s="201"/>
      <c r="G33" s="530"/>
      <c r="H33" s="418"/>
      <c r="I33" s="1298">
        <f t="shared" si="1"/>
        <v>0</v>
      </c>
      <c r="J33" s="1299"/>
    </row>
    <row r="34" spans="1:10" s="18" customFormat="1" ht="19.5" customHeight="1" x14ac:dyDescent="0.2">
      <c r="A34" s="531"/>
      <c r="B34" s="524"/>
      <c r="C34" s="525"/>
      <c r="D34" s="418"/>
      <c r="E34" s="412"/>
      <c r="F34" s="201"/>
      <c r="G34" s="530"/>
      <c r="H34" s="418"/>
      <c r="I34" s="1298">
        <f t="shared" si="1"/>
        <v>0</v>
      </c>
      <c r="J34" s="1299"/>
    </row>
    <row r="35" spans="1:10" s="18" customFormat="1" ht="19.5" customHeight="1" x14ac:dyDescent="0.2">
      <c r="A35" s="531"/>
      <c r="B35" s="524"/>
      <c r="C35" s="525"/>
      <c r="D35" s="418"/>
      <c r="E35" s="412"/>
      <c r="F35" s="201"/>
      <c r="G35" s="530"/>
      <c r="H35" s="418"/>
      <c r="I35" s="1298">
        <f t="shared" si="1"/>
        <v>0</v>
      </c>
      <c r="J35" s="1299"/>
    </row>
    <row r="36" spans="1:10" s="18" customFormat="1" ht="19.5" customHeight="1" x14ac:dyDescent="0.2">
      <c r="A36" s="419" t="s">
        <v>240</v>
      </c>
      <c r="B36" s="407"/>
      <c r="C36" s="406"/>
      <c r="D36" s="418"/>
      <c r="E36" s="412"/>
      <c r="F36" s="201"/>
      <c r="G36" s="422"/>
      <c r="H36" s="418"/>
      <c r="I36" s="1298"/>
      <c r="J36" s="1299"/>
    </row>
    <row r="37" spans="1:10" s="18" customFormat="1" ht="19.5" customHeight="1" x14ac:dyDescent="0.2">
      <c r="A37" s="531"/>
      <c r="B37" s="524"/>
      <c r="C37" s="525"/>
      <c r="D37" s="418"/>
      <c r="E37" s="412"/>
      <c r="F37" s="201"/>
      <c r="G37" s="530"/>
      <c r="H37" s="418"/>
      <c r="I37" s="1298">
        <f t="shared" si="1"/>
        <v>0</v>
      </c>
      <c r="J37" s="1299"/>
    </row>
    <row r="38" spans="1:10" s="18" customFormat="1" ht="19.5" customHeight="1" x14ac:dyDescent="0.2">
      <c r="A38" s="531"/>
      <c r="B38" s="524"/>
      <c r="C38" s="525"/>
      <c r="D38" s="418"/>
      <c r="E38" s="412"/>
      <c r="F38" s="201"/>
      <c r="G38" s="530"/>
      <c r="H38" s="418"/>
      <c r="I38" s="1298">
        <f t="shared" si="1"/>
        <v>0</v>
      </c>
      <c r="J38" s="1299"/>
    </row>
    <row r="39" spans="1:10" s="18" customFormat="1" ht="19.5" customHeight="1" thickBot="1" x14ac:dyDescent="0.25">
      <c r="A39" s="536"/>
      <c r="B39" s="537"/>
      <c r="C39" s="538"/>
      <c r="D39" s="420"/>
      <c r="E39" s="421"/>
      <c r="F39" s="201"/>
      <c r="G39" s="739"/>
      <c r="H39" s="420"/>
      <c r="I39" s="1317">
        <f t="shared" si="1"/>
        <v>0</v>
      </c>
      <c r="J39" s="1318"/>
    </row>
    <row r="40" spans="1:10" s="18" customFormat="1" ht="19.5" customHeight="1" thickBot="1" x14ac:dyDescent="0.25">
      <c r="A40" s="1319" t="s">
        <v>241</v>
      </c>
      <c r="B40" s="1319"/>
      <c r="C40" s="1319"/>
      <c r="D40" s="1320"/>
      <c r="E40" s="117"/>
      <c r="F40" s="202"/>
      <c r="G40" s="121"/>
      <c r="H40" s="204"/>
      <c r="I40" s="1322">
        <f>SUM(I30:J39)</f>
        <v>0</v>
      </c>
      <c r="J40" s="1323"/>
    </row>
    <row r="41" spans="1:10" ht="13.5" thickBot="1" x14ac:dyDescent="0.25">
      <c r="A41" s="56"/>
      <c r="B41" s="56"/>
      <c r="C41" s="56"/>
      <c r="D41" s="56"/>
      <c r="E41" s="56"/>
      <c r="F41" s="56"/>
      <c r="G41" s="56"/>
      <c r="H41" s="56"/>
      <c r="I41" s="56"/>
      <c r="J41" s="56"/>
    </row>
    <row r="42" spans="1:10" s="18" customFormat="1" ht="21.75" customHeight="1" thickBot="1" x14ac:dyDescent="0.25">
      <c r="A42" s="165" t="s">
        <v>242</v>
      </c>
      <c r="B42" s="164"/>
      <c r="C42" s="164"/>
      <c r="D42" s="164"/>
      <c r="E42" s="205"/>
      <c r="G42" s="1315"/>
      <c r="H42" s="1316"/>
      <c r="I42" s="1313">
        <f>SUM(J27+I40)</f>
        <v>0</v>
      </c>
      <c r="J42" s="1314"/>
    </row>
    <row r="43" spans="1:10" x14ac:dyDescent="0.2">
      <c r="A43" s="10"/>
    </row>
    <row r="44" spans="1:10" ht="18.75" customHeight="1" x14ac:dyDescent="0.2">
      <c r="H44" s="129" t="s">
        <v>345</v>
      </c>
    </row>
  </sheetData>
  <sheetProtection sheet="1"/>
  <customSheetViews>
    <customSheetView guid="{B919D2EB-D122-4E25-8E52-25BE88B69D9E}" scale="90" showPageBreaks="1" showGridLines="0" zeroValues="0" printArea="1">
      <selection activeCell="Q59" sqref="Q59"/>
      <pageMargins left="0.4" right="0.23" top="0.39370078740157483" bottom="0.16" header="0.36" footer="0.17"/>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49">
    <mergeCell ref="A40:D40"/>
    <mergeCell ref="I37:J37"/>
    <mergeCell ref="I38:J38"/>
    <mergeCell ref="I35:J35"/>
    <mergeCell ref="H3:J3"/>
    <mergeCell ref="I40:J40"/>
    <mergeCell ref="I32:J32"/>
    <mergeCell ref="I30:J30"/>
    <mergeCell ref="I31:J31"/>
    <mergeCell ref="H24:I24"/>
    <mergeCell ref="H25:I25"/>
    <mergeCell ref="H26:I26"/>
    <mergeCell ref="H16:I16"/>
    <mergeCell ref="H17:I17"/>
    <mergeCell ref="A28:E28"/>
    <mergeCell ref="I42:J42"/>
    <mergeCell ref="G42:H42"/>
    <mergeCell ref="I39:J39"/>
    <mergeCell ref="I36:J36"/>
    <mergeCell ref="I33:J33"/>
    <mergeCell ref="I34:J34"/>
    <mergeCell ref="G28:J28"/>
    <mergeCell ref="A29:E29"/>
    <mergeCell ref="G29:J29"/>
    <mergeCell ref="A27:D27"/>
    <mergeCell ref="G27:I27"/>
    <mergeCell ref="H20:I20"/>
    <mergeCell ref="H21:I21"/>
    <mergeCell ref="H22:I22"/>
    <mergeCell ref="H23:I23"/>
    <mergeCell ref="H8:I8"/>
    <mergeCell ref="H9:I9"/>
    <mergeCell ref="H10:I10"/>
    <mergeCell ref="H11:I11"/>
    <mergeCell ref="H18:I18"/>
    <mergeCell ref="H19:I19"/>
    <mergeCell ref="H14:I14"/>
    <mergeCell ref="H15:I15"/>
    <mergeCell ref="A5:A6"/>
    <mergeCell ref="B5:B7"/>
    <mergeCell ref="C5:C7"/>
    <mergeCell ref="D5:D7"/>
    <mergeCell ref="E5:E7"/>
    <mergeCell ref="J5:J7"/>
    <mergeCell ref="G6:G7"/>
    <mergeCell ref="H6:I7"/>
    <mergeCell ref="G5:H5"/>
    <mergeCell ref="H12:I12"/>
    <mergeCell ref="H13:I13"/>
  </mergeCells>
  <phoneticPr fontId="16" type="noConversion"/>
  <pageMargins left="0.39370078740157483" right="0.23622047244094491" top="0.39370078740157483" bottom="0.15748031496062992" header="0.35433070866141736" footer="0.15748031496062992"/>
  <pageSetup paperSize="9" orientation="portrait" blackAndWhite="1" r:id="rId2"/>
  <headerFooter alignWithMargins="0">
    <oddFooter>&amp;C&amp;8(C) Lerch Treuhand AG, Itingen</oddFooter>
  </headerFooter>
  <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4EFE-8D93-441D-B223-2D4416024EA5}">
  <sheetPr codeName="Tabelle21">
    <tabColor indexed="10"/>
  </sheetPr>
  <dimension ref="A1:I47"/>
  <sheetViews>
    <sheetView showGridLines="0" zoomScale="90" workbookViewId="0">
      <selection activeCell="L9" sqref="L9"/>
    </sheetView>
  </sheetViews>
  <sheetFormatPr baseColWidth="10" defaultRowHeight="12.75" x14ac:dyDescent="0.2"/>
  <cols>
    <col min="1" max="1" width="3" customWidth="1"/>
    <col min="2" max="2" width="29.140625" customWidth="1"/>
    <col min="3" max="3" width="2.140625" customWidth="1"/>
    <col min="4" max="4" width="15.42578125" customWidth="1"/>
    <col min="5" max="5" width="14.5703125" customWidth="1"/>
    <col min="6" max="6" width="2" customWidth="1"/>
    <col min="7" max="7" width="15.28515625" customWidth="1"/>
    <col min="8" max="8" width="12.5703125" customWidth="1"/>
    <col min="9" max="9" width="2.85546875" customWidth="1"/>
    <col min="13" max="13" width="11" customWidth="1"/>
  </cols>
  <sheetData>
    <row r="1" spans="1:9" ht="23.25" x14ac:dyDescent="0.35">
      <c r="A1" s="762">
        <f>DECKBLATT!B14</f>
        <v>0</v>
      </c>
      <c r="B1" s="762"/>
    </row>
    <row r="2" spans="1:9" ht="29.25" customHeight="1" x14ac:dyDescent="0.35">
      <c r="A2" s="211"/>
      <c r="B2" s="211"/>
      <c r="C2" s="88"/>
      <c r="I2" s="15"/>
    </row>
    <row r="3" spans="1:9" ht="8.25" customHeight="1" x14ac:dyDescent="0.25">
      <c r="A3" s="5"/>
    </row>
    <row r="4" spans="1:9" ht="26.25" x14ac:dyDescent="0.4">
      <c r="A4" s="5" t="s">
        <v>414</v>
      </c>
      <c r="H4" s="790">
        <v>2025</v>
      </c>
    </row>
    <row r="5" spans="1:9" ht="12" customHeight="1" x14ac:dyDescent="0.25">
      <c r="A5" s="5"/>
    </row>
    <row r="6" spans="1:9" ht="14.25" customHeight="1" x14ac:dyDescent="0.25">
      <c r="A6" s="58"/>
      <c r="B6" s="59"/>
      <c r="C6" s="59"/>
      <c r="D6" s="59"/>
      <c r="E6" s="59"/>
      <c r="F6" s="59"/>
      <c r="G6" s="115"/>
      <c r="H6" s="59"/>
      <c r="I6" s="60"/>
    </row>
    <row r="7" spans="1:9" s="51" customFormat="1" ht="18" x14ac:dyDescent="0.25">
      <c r="A7" s="61"/>
      <c r="B7" s="62" t="s">
        <v>260</v>
      </c>
      <c r="C7" s="62"/>
      <c r="D7" s="723"/>
      <c r="E7" s="723"/>
      <c r="F7" s="723"/>
      <c r="G7" s="724"/>
      <c r="H7" s="723"/>
      <c r="I7" s="63"/>
    </row>
    <row r="8" spans="1:9" s="51" customFormat="1" ht="18" x14ac:dyDescent="0.25">
      <c r="A8" s="61"/>
      <c r="B8" s="62" t="s">
        <v>261</v>
      </c>
      <c r="C8" s="62"/>
      <c r="D8" s="723"/>
      <c r="E8" s="723"/>
      <c r="F8" s="723"/>
      <c r="G8" s="723"/>
      <c r="H8" s="723"/>
      <c r="I8" s="63"/>
    </row>
    <row r="9" spans="1:9" s="51" customFormat="1" ht="18" x14ac:dyDescent="0.25">
      <c r="A9" s="61"/>
      <c r="B9" s="62" t="s">
        <v>262</v>
      </c>
      <c r="C9" s="62"/>
      <c r="D9" s="723"/>
      <c r="E9" s="723"/>
      <c r="F9" s="723"/>
      <c r="G9" s="723"/>
      <c r="H9" s="723"/>
      <c r="I9" s="63"/>
    </row>
    <row r="10" spans="1:9" s="51" customFormat="1" ht="8.25" customHeight="1" x14ac:dyDescent="0.25">
      <c r="A10" s="61"/>
      <c r="B10" s="54"/>
      <c r="C10" s="54"/>
      <c r="D10" s="725"/>
      <c r="E10" s="725"/>
      <c r="F10" s="725"/>
      <c r="G10" s="725"/>
      <c r="H10" s="725"/>
      <c r="I10" s="63"/>
    </row>
    <row r="11" spans="1:9" ht="18" x14ac:dyDescent="0.25">
      <c r="A11" s="61"/>
      <c r="B11" s="54" t="s">
        <v>245</v>
      </c>
      <c r="C11" s="54"/>
      <c r="D11" s="54"/>
      <c r="E11" s="54"/>
      <c r="F11" s="54"/>
      <c r="G11" s="54"/>
      <c r="H11" s="54"/>
      <c r="I11" s="63"/>
    </row>
    <row r="12" spans="1:9" ht="18" x14ac:dyDescent="0.25">
      <c r="A12" s="61"/>
      <c r="B12" s="1339"/>
      <c r="C12" s="1340"/>
      <c r="D12" s="1340"/>
      <c r="E12" s="1340"/>
      <c r="F12" s="1340"/>
      <c r="G12" s="1340"/>
      <c r="H12" s="1341"/>
      <c r="I12" s="63"/>
    </row>
    <row r="13" spans="1:9" ht="18" x14ac:dyDescent="0.25">
      <c r="A13" s="61"/>
      <c r="B13" s="1342"/>
      <c r="C13" s="1343"/>
      <c r="D13" s="1343"/>
      <c r="E13" s="1343"/>
      <c r="F13" s="1343"/>
      <c r="G13" s="1343"/>
      <c r="H13" s="1344"/>
      <c r="I13" s="63"/>
    </row>
    <row r="14" spans="1:9" ht="18" x14ac:dyDescent="0.25">
      <c r="A14" s="61"/>
      <c r="B14" s="1342"/>
      <c r="C14" s="1343"/>
      <c r="D14" s="1343"/>
      <c r="E14" s="1343"/>
      <c r="F14" s="1343"/>
      <c r="G14" s="1343"/>
      <c r="H14" s="1344"/>
      <c r="I14" s="63"/>
    </row>
    <row r="15" spans="1:9" ht="18" x14ac:dyDescent="0.25">
      <c r="A15" s="61"/>
      <c r="B15" s="1345"/>
      <c r="C15" s="1346"/>
      <c r="D15" s="1346"/>
      <c r="E15" s="1346"/>
      <c r="F15" s="1346"/>
      <c r="G15" s="1346"/>
      <c r="H15" s="1347"/>
      <c r="I15" s="63"/>
    </row>
    <row r="16" spans="1:9" ht="15.75" customHeight="1" x14ac:dyDescent="0.25">
      <c r="A16" s="64"/>
      <c r="B16" s="57"/>
      <c r="C16" s="57"/>
      <c r="D16" s="57"/>
      <c r="E16" s="57"/>
      <c r="F16" s="57"/>
      <c r="G16" s="57"/>
      <c r="H16" s="57"/>
      <c r="I16" s="65"/>
    </row>
    <row r="17" spans="1:9" ht="10.5" customHeight="1" x14ac:dyDescent="0.2"/>
    <row r="18" spans="1:9" ht="24.75" customHeight="1" x14ac:dyDescent="0.2">
      <c r="A18" s="77"/>
      <c r="B18" s="989" t="s">
        <v>246</v>
      </c>
      <c r="C18" s="989"/>
      <c r="D18" s="989"/>
      <c r="E18" s="989"/>
      <c r="F18" s="989"/>
      <c r="G18" s="989"/>
      <c r="H18" s="989"/>
      <c r="I18" s="995"/>
    </row>
    <row r="19" spans="1:9" ht="14.25" x14ac:dyDescent="0.2">
      <c r="A19" s="67"/>
      <c r="B19" s="68" t="s">
        <v>247</v>
      </c>
      <c r="C19" s="68"/>
      <c r="D19" s="1326" t="s">
        <v>248</v>
      </c>
      <c r="E19" s="1326"/>
      <c r="F19" s="68"/>
      <c r="G19" s="1330" t="s">
        <v>249</v>
      </c>
      <c r="H19" s="1330"/>
      <c r="I19" s="69"/>
    </row>
    <row r="20" spans="1:9" ht="16.5" x14ac:dyDescent="0.2">
      <c r="A20" s="70"/>
      <c r="B20" s="80" t="s">
        <v>250</v>
      </c>
      <c r="C20" s="81"/>
      <c r="D20" s="1327" t="s">
        <v>251</v>
      </c>
      <c r="E20" s="1327"/>
      <c r="F20" s="81"/>
      <c r="G20" s="1327" t="s">
        <v>252</v>
      </c>
      <c r="H20" s="1327"/>
      <c r="I20" s="71"/>
    </row>
    <row r="21" spans="1:9" s="85" customFormat="1" ht="18.75" x14ac:dyDescent="0.25">
      <c r="A21" s="72"/>
      <c r="B21" s="717"/>
      <c r="C21" s="83"/>
      <c r="D21" s="1328"/>
      <c r="E21" s="1328"/>
      <c r="F21" s="83"/>
      <c r="G21" s="1328"/>
      <c r="H21" s="1328"/>
      <c r="I21" s="73"/>
    </row>
    <row r="22" spans="1:9" s="85" customFormat="1" ht="18.75" x14ac:dyDescent="0.25">
      <c r="A22" s="72"/>
      <c r="B22" s="718"/>
      <c r="C22" s="83"/>
      <c r="D22" s="1329"/>
      <c r="E22" s="1329"/>
      <c r="F22" s="83"/>
      <c r="G22" s="1329"/>
      <c r="H22" s="1329"/>
      <c r="I22" s="73"/>
    </row>
    <row r="23" spans="1:9" s="85" customFormat="1" ht="18.75" x14ac:dyDescent="0.25">
      <c r="A23" s="72"/>
      <c r="B23" s="721"/>
      <c r="C23" s="83"/>
      <c r="D23" s="1329"/>
      <c r="E23" s="1329"/>
      <c r="F23" s="83"/>
      <c r="G23" s="1329"/>
      <c r="H23" s="1329"/>
      <c r="I23" s="73"/>
    </row>
    <row r="24" spans="1:9" s="18" customFormat="1" ht="14.25" customHeight="1" x14ac:dyDescent="0.2">
      <c r="A24" s="78"/>
      <c r="B24" s="55" t="s">
        <v>253</v>
      </c>
      <c r="C24" s="55"/>
      <c r="D24" s="1332" t="s">
        <v>254</v>
      </c>
      <c r="E24" s="1332"/>
      <c r="F24" s="55"/>
      <c r="G24" s="1333"/>
      <c r="H24" s="1333"/>
      <c r="I24" s="79"/>
    </row>
    <row r="25" spans="1:9" ht="16.5" x14ac:dyDescent="0.2">
      <c r="A25" s="70"/>
      <c r="B25" s="80" t="s">
        <v>543</v>
      </c>
      <c r="C25" s="81"/>
      <c r="D25" s="1327" t="s">
        <v>383</v>
      </c>
      <c r="E25" s="1327"/>
      <c r="F25" s="81"/>
      <c r="G25" s="1327" t="s">
        <v>507</v>
      </c>
      <c r="H25" s="1327"/>
      <c r="I25" s="71"/>
    </row>
    <row r="26" spans="1:9" s="18" customFormat="1" ht="18.75" x14ac:dyDescent="0.2">
      <c r="A26" s="82"/>
      <c r="B26" s="719"/>
      <c r="C26" s="83"/>
      <c r="D26" s="1328"/>
      <c r="E26" s="1328"/>
      <c r="F26" s="83"/>
      <c r="G26" s="1334"/>
      <c r="H26" s="1334"/>
      <c r="I26" s="84"/>
    </row>
    <row r="27" spans="1:9" s="18" customFormat="1" ht="18.75" x14ac:dyDescent="0.2">
      <c r="A27" s="82"/>
      <c r="B27" s="720"/>
      <c r="C27" s="83"/>
      <c r="D27" s="1329"/>
      <c r="E27" s="1329"/>
      <c r="F27" s="83"/>
      <c r="G27" s="1335"/>
      <c r="H27" s="1335"/>
      <c r="I27" s="84"/>
    </row>
    <row r="28" spans="1:9" s="18" customFormat="1" ht="18.75" x14ac:dyDescent="0.2">
      <c r="A28" s="82"/>
      <c r="B28" s="720"/>
      <c r="C28" s="83"/>
      <c r="D28" s="1329"/>
      <c r="E28" s="1329"/>
      <c r="F28" s="83"/>
      <c r="G28" s="1335"/>
      <c r="H28" s="1335"/>
      <c r="I28" s="84"/>
    </row>
    <row r="29" spans="1:9" s="18" customFormat="1" ht="18.75" x14ac:dyDescent="0.2">
      <c r="A29" s="82"/>
      <c r="B29" s="720"/>
      <c r="C29" s="83"/>
      <c r="D29" s="1329"/>
      <c r="E29" s="1329"/>
      <c r="F29" s="83"/>
      <c r="G29" s="1335"/>
      <c r="H29" s="1335"/>
      <c r="I29" s="84"/>
    </row>
    <row r="30" spans="1:9" s="18" customFormat="1" ht="18.75" x14ac:dyDescent="0.2">
      <c r="A30" s="82"/>
      <c r="B30" s="722"/>
      <c r="C30" s="83"/>
      <c r="D30" s="1331"/>
      <c r="E30" s="1331"/>
      <c r="F30" s="83"/>
      <c r="G30" s="1336"/>
      <c r="H30" s="1336"/>
      <c r="I30" s="84"/>
    </row>
    <row r="31" spans="1:9" x14ac:dyDescent="0.2">
      <c r="A31" s="74"/>
      <c r="B31" s="75"/>
      <c r="C31" s="75"/>
      <c r="D31" s="75"/>
      <c r="E31" s="75"/>
      <c r="F31" s="75"/>
      <c r="G31" s="75"/>
      <c r="H31" s="75"/>
      <c r="I31" s="76"/>
    </row>
    <row r="32" spans="1:9" ht="10.5" customHeight="1" x14ac:dyDescent="0.2">
      <c r="A32" s="9"/>
    </row>
    <row r="33" spans="1:9" s="18" customFormat="1" ht="24" customHeight="1" x14ac:dyDescent="0.2">
      <c r="A33" s="77"/>
      <c r="B33" s="989" t="s">
        <v>255</v>
      </c>
      <c r="C33" s="989"/>
      <c r="D33" s="989"/>
      <c r="E33" s="989"/>
      <c r="F33" s="989"/>
      <c r="G33" s="989"/>
      <c r="H33" s="989"/>
      <c r="I33" s="995"/>
    </row>
    <row r="34" spans="1:9" ht="14.25" x14ac:dyDescent="0.2">
      <c r="A34" s="67"/>
      <c r="B34" s="68" t="s">
        <v>256</v>
      </c>
      <c r="C34" s="68"/>
      <c r="D34" s="1330" t="s">
        <v>257</v>
      </c>
      <c r="E34" s="1330"/>
      <c r="F34" s="68"/>
      <c r="G34" s="1330" t="s">
        <v>258</v>
      </c>
      <c r="H34" s="1330"/>
      <c r="I34" s="69"/>
    </row>
    <row r="35" spans="1:9" ht="16.5" x14ac:dyDescent="0.2">
      <c r="A35" s="70"/>
      <c r="B35" s="80" t="s">
        <v>259</v>
      </c>
      <c r="C35" s="81"/>
      <c r="D35" s="1327" t="s">
        <v>544</v>
      </c>
      <c r="E35" s="1327"/>
      <c r="F35" s="81"/>
      <c r="G35" s="1327" t="s">
        <v>483</v>
      </c>
      <c r="H35" s="1327"/>
      <c r="I35" s="71"/>
    </row>
    <row r="36" spans="1:9" ht="18.75" x14ac:dyDescent="0.2">
      <c r="A36" s="72"/>
      <c r="B36" s="717"/>
      <c r="C36" s="66"/>
      <c r="D36" s="1328"/>
      <c r="E36" s="1328"/>
      <c r="F36" s="66"/>
      <c r="G36" s="1334"/>
      <c r="H36" s="1334"/>
      <c r="I36" s="73"/>
    </row>
    <row r="37" spans="1:9" ht="18.75" x14ac:dyDescent="0.2">
      <c r="A37" s="72"/>
      <c r="B37" s="718"/>
      <c r="C37" s="66"/>
      <c r="D37" s="1329"/>
      <c r="E37" s="1329"/>
      <c r="F37" s="66"/>
      <c r="G37" s="1335"/>
      <c r="H37" s="1335"/>
      <c r="I37" s="73"/>
    </row>
    <row r="38" spans="1:9" ht="18.75" x14ac:dyDescent="0.2">
      <c r="A38" s="72"/>
      <c r="B38" s="718"/>
      <c r="C38" s="66"/>
      <c r="D38" s="1329"/>
      <c r="E38" s="1329"/>
      <c r="F38" s="66"/>
      <c r="G38" s="1335"/>
      <c r="H38" s="1335"/>
      <c r="I38" s="73"/>
    </row>
    <row r="39" spans="1:9" ht="18.75" x14ac:dyDescent="0.2">
      <c r="A39" s="72"/>
      <c r="B39" s="721"/>
      <c r="C39" s="66"/>
      <c r="D39" s="1331"/>
      <c r="E39" s="1331"/>
      <c r="F39" s="66"/>
      <c r="G39" s="1336"/>
      <c r="H39" s="1336"/>
      <c r="I39" s="73"/>
    </row>
    <row r="40" spans="1:9" x14ac:dyDescent="0.2">
      <c r="A40" s="74"/>
      <c r="B40" s="75"/>
      <c r="C40" s="75"/>
      <c r="D40" s="75"/>
      <c r="E40" s="75"/>
      <c r="F40" s="75"/>
      <c r="G40" s="75"/>
      <c r="H40" s="75"/>
      <c r="I40" s="76"/>
    </row>
    <row r="42" spans="1:9" ht="23.25" customHeight="1" x14ac:dyDescent="0.2">
      <c r="A42" s="77"/>
      <c r="B42" s="1353" t="s">
        <v>455</v>
      </c>
      <c r="C42" s="1353"/>
      <c r="D42" s="1353"/>
      <c r="E42" s="1353"/>
      <c r="F42" s="1353"/>
      <c r="G42" s="1353"/>
      <c r="H42" s="1353"/>
      <c r="I42" s="1354"/>
    </row>
    <row r="43" spans="1:9" ht="14.25" customHeight="1" x14ac:dyDescent="0.2">
      <c r="A43" s="67"/>
      <c r="B43" s="1337" t="s">
        <v>426</v>
      </c>
      <c r="C43" s="554"/>
      <c r="D43" s="1337" t="s">
        <v>427</v>
      </c>
      <c r="E43" s="1337"/>
      <c r="F43" s="554"/>
      <c r="G43" s="1337" t="s">
        <v>431</v>
      </c>
      <c r="H43" s="1337"/>
      <c r="I43" s="69"/>
    </row>
    <row r="44" spans="1:9" ht="16.5" customHeight="1" x14ac:dyDescent="0.2">
      <c r="A44" s="70"/>
      <c r="B44" s="1338"/>
      <c r="C44" s="560"/>
      <c r="D44" s="1338"/>
      <c r="E44" s="1338"/>
      <c r="F44" s="560"/>
      <c r="G44" s="1338"/>
      <c r="H44" s="1338"/>
      <c r="I44" s="71"/>
    </row>
    <row r="45" spans="1:9" ht="18.75" x14ac:dyDescent="0.2">
      <c r="A45" s="72"/>
      <c r="B45" s="758"/>
      <c r="C45" s="66"/>
      <c r="D45" s="1351"/>
      <c r="E45" s="1351"/>
      <c r="F45" s="66"/>
      <c r="G45" s="1352"/>
      <c r="H45" s="1352"/>
      <c r="I45" s="73"/>
    </row>
    <row r="46" spans="1:9" ht="18.75" x14ac:dyDescent="0.2">
      <c r="A46" s="72"/>
      <c r="B46" s="759"/>
      <c r="C46" s="66"/>
      <c r="D46" s="1348"/>
      <c r="E46" s="1348"/>
      <c r="F46" s="66"/>
      <c r="G46" s="1349"/>
      <c r="H46" s="1350"/>
      <c r="I46" s="73"/>
    </row>
    <row r="47" spans="1:9" x14ac:dyDescent="0.2">
      <c r="A47" s="74"/>
      <c r="B47" s="75"/>
      <c r="C47" s="75"/>
      <c r="D47" s="75"/>
      <c r="E47" s="75"/>
      <c r="F47" s="75"/>
      <c r="G47" s="75"/>
      <c r="H47" s="75"/>
      <c r="I47" s="76"/>
    </row>
  </sheetData>
  <sheetProtection sheet="1"/>
  <customSheetViews>
    <customSheetView guid="{B919D2EB-D122-4E25-8E52-25BE88B69D9E}" scale="90" showGridLines="0" topLeftCell="A22">
      <selection activeCell="P57" sqref="P57"/>
      <pageMargins left="0.43" right="0.33" top="0.39370078740157483" bottom="0.15748031496062992" header="0.35433070866141736" footer="0.15748031496062992"/>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47">
    <mergeCell ref="B12:H15"/>
    <mergeCell ref="D46:E46"/>
    <mergeCell ref="G46:H46"/>
    <mergeCell ref="D45:E45"/>
    <mergeCell ref="G45:H45"/>
    <mergeCell ref="B42:I42"/>
    <mergeCell ref="B43:B44"/>
    <mergeCell ref="D35:E35"/>
    <mergeCell ref="G35:H35"/>
    <mergeCell ref="D36:E36"/>
    <mergeCell ref="G36:H36"/>
    <mergeCell ref="G39:H39"/>
    <mergeCell ref="G43:H44"/>
    <mergeCell ref="D43:E44"/>
    <mergeCell ref="D37:E37"/>
    <mergeCell ref="G37:H37"/>
    <mergeCell ref="D38:E38"/>
    <mergeCell ref="D39:E39"/>
    <mergeCell ref="G38:H38"/>
    <mergeCell ref="D34:E34"/>
    <mergeCell ref="G34:H34"/>
    <mergeCell ref="G25:H25"/>
    <mergeCell ref="G26:H26"/>
    <mergeCell ref="G27:H27"/>
    <mergeCell ref="G28:H28"/>
    <mergeCell ref="G29:H29"/>
    <mergeCell ref="G30:H30"/>
    <mergeCell ref="D27:E27"/>
    <mergeCell ref="D28:E28"/>
    <mergeCell ref="G22:H22"/>
    <mergeCell ref="G23:H23"/>
    <mergeCell ref="D29:E29"/>
    <mergeCell ref="D30:E30"/>
    <mergeCell ref="D24:E24"/>
    <mergeCell ref="G24:H24"/>
    <mergeCell ref="D25:E25"/>
    <mergeCell ref="D26:E26"/>
    <mergeCell ref="B18:I18"/>
    <mergeCell ref="B33:I33"/>
    <mergeCell ref="D19:E19"/>
    <mergeCell ref="D20:E20"/>
    <mergeCell ref="D21:E21"/>
    <mergeCell ref="D22:E22"/>
    <mergeCell ref="D23:E23"/>
    <mergeCell ref="G19:H19"/>
    <mergeCell ref="G20:H20"/>
    <mergeCell ref="G21:H21"/>
  </mergeCells>
  <phoneticPr fontId="16" type="noConversion"/>
  <pageMargins left="0.43307086614173229" right="0.31496062992125984" top="0.39370078740157483" bottom="0.15748031496062992" header="0.35433070866141736" footer="0.15748031496062992"/>
  <pageSetup paperSize="9" orientation="portrait" blackAndWhite="1" r:id="rId2"/>
  <headerFooter alignWithMargins="0">
    <oddFooter>&amp;C&amp;8(C) Lerch Treuhand AG, Itingen</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0481" r:id="rId5" name="Check Box 1">
              <controlPr defaultSize="0" autoFill="0" autoLine="0" autoPict="0">
                <anchor moveWithCells="1">
                  <from>
                    <xdr:col>3</xdr:col>
                    <xdr:colOff>95250</xdr:colOff>
                    <xdr:row>6</xdr:row>
                    <xdr:rowOff>28575</xdr:rowOff>
                  </from>
                  <to>
                    <xdr:col>4</xdr:col>
                    <xdr:colOff>133350</xdr:colOff>
                    <xdr:row>7</xdr:row>
                    <xdr:rowOff>28575</xdr:rowOff>
                  </to>
                </anchor>
              </controlPr>
            </control>
          </mc:Choice>
        </mc:AlternateContent>
        <mc:AlternateContent xmlns:mc="http://schemas.openxmlformats.org/markup-compatibility/2006">
          <mc:Choice Requires="x14">
            <control shapeId="20482" r:id="rId6" name="Check Box 2">
              <controlPr defaultSize="0" autoFill="0" autoLine="0" autoPict="0">
                <anchor moveWithCells="1">
                  <from>
                    <xdr:col>4</xdr:col>
                    <xdr:colOff>76200</xdr:colOff>
                    <xdr:row>6</xdr:row>
                    <xdr:rowOff>28575</xdr:rowOff>
                  </from>
                  <to>
                    <xdr:col>5</xdr:col>
                    <xdr:colOff>28575</xdr:colOff>
                    <xdr:row>7</xdr:row>
                    <xdr:rowOff>19050</xdr:rowOff>
                  </to>
                </anchor>
              </controlPr>
            </control>
          </mc:Choice>
        </mc:AlternateContent>
        <mc:AlternateContent xmlns:mc="http://schemas.openxmlformats.org/markup-compatibility/2006">
          <mc:Choice Requires="x14">
            <control shapeId="20483" r:id="rId7" name="Check Box 3">
              <controlPr defaultSize="0" autoFill="0" autoLine="0" autoPict="0">
                <anchor moveWithCells="1">
                  <from>
                    <xdr:col>6</xdr:col>
                    <xdr:colOff>142875</xdr:colOff>
                    <xdr:row>6</xdr:row>
                    <xdr:rowOff>19050</xdr:rowOff>
                  </from>
                  <to>
                    <xdr:col>7</xdr:col>
                    <xdr:colOff>9525</xdr:colOff>
                    <xdr:row>7</xdr:row>
                    <xdr:rowOff>9525</xdr:rowOff>
                  </to>
                </anchor>
              </controlPr>
            </control>
          </mc:Choice>
        </mc:AlternateContent>
        <mc:AlternateContent xmlns:mc="http://schemas.openxmlformats.org/markup-compatibility/2006">
          <mc:Choice Requires="x14">
            <control shapeId="20484" r:id="rId8" name="Check Box 4">
              <controlPr defaultSize="0" autoFill="0" autoLine="0" autoPict="0">
                <anchor moveWithCells="1">
                  <from>
                    <xdr:col>7</xdr:col>
                    <xdr:colOff>95250</xdr:colOff>
                    <xdr:row>6</xdr:row>
                    <xdr:rowOff>19050</xdr:rowOff>
                  </from>
                  <to>
                    <xdr:col>7</xdr:col>
                    <xdr:colOff>676275</xdr:colOff>
                    <xdr:row>7</xdr:row>
                    <xdr:rowOff>9525</xdr:rowOff>
                  </to>
                </anchor>
              </controlPr>
            </control>
          </mc:Choice>
        </mc:AlternateContent>
        <mc:AlternateContent xmlns:mc="http://schemas.openxmlformats.org/markup-compatibility/2006">
          <mc:Choice Requires="x14">
            <control shapeId="20485" r:id="rId9" name="Check Box 5">
              <controlPr defaultSize="0" autoFill="0" autoLine="0" autoPict="0">
                <anchor moveWithCells="1">
                  <from>
                    <xdr:col>3</xdr:col>
                    <xdr:colOff>95250</xdr:colOff>
                    <xdr:row>7</xdr:row>
                    <xdr:rowOff>28575</xdr:rowOff>
                  </from>
                  <to>
                    <xdr:col>4</xdr:col>
                    <xdr:colOff>133350</xdr:colOff>
                    <xdr:row>8</xdr:row>
                    <xdr:rowOff>47625</xdr:rowOff>
                  </to>
                </anchor>
              </controlPr>
            </control>
          </mc:Choice>
        </mc:AlternateContent>
        <mc:AlternateContent xmlns:mc="http://schemas.openxmlformats.org/markup-compatibility/2006">
          <mc:Choice Requires="x14">
            <control shapeId="20486" r:id="rId10" name="Check Box 6">
              <controlPr defaultSize="0" autoFill="0" autoLine="0" autoPict="0">
                <anchor moveWithCells="1">
                  <from>
                    <xdr:col>4</xdr:col>
                    <xdr:colOff>76200</xdr:colOff>
                    <xdr:row>7</xdr:row>
                    <xdr:rowOff>28575</xdr:rowOff>
                  </from>
                  <to>
                    <xdr:col>5</xdr:col>
                    <xdr:colOff>28575</xdr:colOff>
                    <xdr:row>8</xdr:row>
                    <xdr:rowOff>38100</xdr:rowOff>
                  </to>
                </anchor>
              </controlPr>
            </control>
          </mc:Choice>
        </mc:AlternateContent>
        <mc:AlternateContent xmlns:mc="http://schemas.openxmlformats.org/markup-compatibility/2006">
          <mc:Choice Requires="x14">
            <control shapeId="20487" r:id="rId11" name="Check Box 7">
              <controlPr defaultSize="0" autoFill="0" autoLine="0" autoPict="0">
                <anchor moveWithCells="1">
                  <from>
                    <xdr:col>6</xdr:col>
                    <xdr:colOff>142875</xdr:colOff>
                    <xdr:row>7</xdr:row>
                    <xdr:rowOff>19050</xdr:rowOff>
                  </from>
                  <to>
                    <xdr:col>7</xdr:col>
                    <xdr:colOff>9525</xdr:colOff>
                    <xdr:row>8</xdr:row>
                    <xdr:rowOff>28575</xdr:rowOff>
                  </to>
                </anchor>
              </controlPr>
            </control>
          </mc:Choice>
        </mc:AlternateContent>
        <mc:AlternateContent xmlns:mc="http://schemas.openxmlformats.org/markup-compatibility/2006">
          <mc:Choice Requires="x14">
            <control shapeId="20488" r:id="rId12" name="Check Box 8">
              <controlPr defaultSize="0" autoFill="0" autoLine="0" autoPict="0">
                <anchor moveWithCells="1">
                  <from>
                    <xdr:col>7</xdr:col>
                    <xdr:colOff>95250</xdr:colOff>
                    <xdr:row>7</xdr:row>
                    <xdr:rowOff>19050</xdr:rowOff>
                  </from>
                  <to>
                    <xdr:col>7</xdr:col>
                    <xdr:colOff>676275</xdr:colOff>
                    <xdr:row>8</xdr:row>
                    <xdr:rowOff>28575</xdr:rowOff>
                  </to>
                </anchor>
              </controlPr>
            </control>
          </mc:Choice>
        </mc:AlternateContent>
        <mc:AlternateContent xmlns:mc="http://schemas.openxmlformats.org/markup-compatibility/2006">
          <mc:Choice Requires="x14">
            <control shapeId="20489" r:id="rId13" name="Check Box 9">
              <controlPr defaultSize="0" autoFill="0" autoLine="0" autoPict="0">
                <anchor moveWithCells="1">
                  <from>
                    <xdr:col>3</xdr:col>
                    <xdr:colOff>95250</xdr:colOff>
                    <xdr:row>8</xdr:row>
                    <xdr:rowOff>47625</xdr:rowOff>
                  </from>
                  <to>
                    <xdr:col>4</xdr:col>
                    <xdr:colOff>133350</xdr:colOff>
                    <xdr:row>9</xdr:row>
                    <xdr:rowOff>47625</xdr:rowOff>
                  </to>
                </anchor>
              </controlPr>
            </control>
          </mc:Choice>
        </mc:AlternateContent>
        <mc:AlternateContent xmlns:mc="http://schemas.openxmlformats.org/markup-compatibility/2006">
          <mc:Choice Requires="x14">
            <control shapeId="20490" r:id="rId14" name="Check Box 10">
              <controlPr defaultSize="0" autoFill="0" autoLine="0" autoPict="0">
                <anchor moveWithCells="1">
                  <from>
                    <xdr:col>4</xdr:col>
                    <xdr:colOff>76200</xdr:colOff>
                    <xdr:row>8</xdr:row>
                    <xdr:rowOff>47625</xdr:rowOff>
                  </from>
                  <to>
                    <xdr:col>5</xdr:col>
                    <xdr:colOff>28575</xdr:colOff>
                    <xdr:row>9</xdr:row>
                    <xdr:rowOff>38100</xdr:rowOff>
                  </to>
                </anchor>
              </controlPr>
            </control>
          </mc:Choice>
        </mc:AlternateContent>
        <mc:AlternateContent xmlns:mc="http://schemas.openxmlformats.org/markup-compatibility/2006">
          <mc:Choice Requires="x14">
            <control shapeId="20491" r:id="rId15" name="Check Box 11">
              <controlPr defaultSize="0" autoFill="0" autoLine="0" autoPict="0">
                <anchor moveWithCells="1">
                  <from>
                    <xdr:col>6</xdr:col>
                    <xdr:colOff>142875</xdr:colOff>
                    <xdr:row>8</xdr:row>
                    <xdr:rowOff>38100</xdr:rowOff>
                  </from>
                  <to>
                    <xdr:col>7</xdr:col>
                    <xdr:colOff>9525</xdr:colOff>
                    <xdr:row>9</xdr:row>
                    <xdr:rowOff>28575</xdr:rowOff>
                  </to>
                </anchor>
              </controlPr>
            </control>
          </mc:Choice>
        </mc:AlternateContent>
        <mc:AlternateContent xmlns:mc="http://schemas.openxmlformats.org/markup-compatibility/2006">
          <mc:Choice Requires="x14">
            <control shapeId="20492" r:id="rId16" name="Check Box 12">
              <controlPr defaultSize="0" autoFill="0" autoLine="0" autoPict="0">
                <anchor moveWithCells="1">
                  <from>
                    <xdr:col>7</xdr:col>
                    <xdr:colOff>95250</xdr:colOff>
                    <xdr:row>8</xdr:row>
                    <xdr:rowOff>38100</xdr:rowOff>
                  </from>
                  <to>
                    <xdr:col>7</xdr:col>
                    <xdr:colOff>676275</xdr:colOff>
                    <xdr:row>9</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0C3DE-3B12-4260-8F79-5D937B6F4774}">
  <sheetPr codeName="Tabelle3">
    <tabColor indexed="10"/>
  </sheetPr>
  <dimension ref="A1:E44"/>
  <sheetViews>
    <sheetView showGridLines="0" showZeros="0" workbookViewId="0">
      <selection activeCell="H12" sqref="H12"/>
    </sheetView>
  </sheetViews>
  <sheetFormatPr baseColWidth="10" defaultRowHeight="12.75" x14ac:dyDescent="0.2"/>
  <cols>
    <col min="1" max="1" width="21.5703125" style="4" customWidth="1"/>
    <col min="2" max="2" width="21.140625" style="4" customWidth="1"/>
    <col min="3" max="3" width="4.5703125" style="4" customWidth="1"/>
    <col min="4" max="4" width="39" style="4" customWidth="1"/>
    <col min="5" max="16384" width="11.42578125" style="4"/>
  </cols>
  <sheetData>
    <row r="1" spans="1:5" ht="14.25" x14ac:dyDescent="0.2">
      <c r="D1" s="906" t="s">
        <v>367</v>
      </c>
    </row>
    <row r="2" spans="1:5" ht="14.25" x14ac:dyDescent="0.2">
      <c r="D2" s="906" t="s">
        <v>369</v>
      </c>
    </row>
    <row r="3" spans="1:5" ht="14.25" x14ac:dyDescent="0.2">
      <c r="D3" s="906" t="s">
        <v>368</v>
      </c>
    </row>
    <row r="5" spans="1:5" ht="25.5" customHeight="1" x14ac:dyDescent="0.2"/>
    <row r="7" spans="1:5" ht="33.75" x14ac:dyDescent="0.5">
      <c r="B7" s="910" t="s">
        <v>264</v>
      </c>
      <c r="C7" s="910"/>
      <c r="D7" s="910"/>
    </row>
    <row r="8" spans="1:5" ht="17.25" customHeight="1" x14ac:dyDescent="0.2"/>
    <row r="9" spans="1:5" x14ac:dyDescent="0.2">
      <c r="B9" s="107"/>
      <c r="C9" s="107"/>
      <c r="D9" s="107"/>
      <c r="E9" s="86"/>
    </row>
    <row r="10" spans="1:5" x14ac:dyDescent="0.2">
      <c r="A10" s="107"/>
      <c r="B10" s="107"/>
      <c r="C10" s="107"/>
      <c r="D10" s="107"/>
    </row>
    <row r="11" spans="1:5" ht="26.25" x14ac:dyDescent="0.4">
      <c r="A11" s="116" t="s">
        <v>265</v>
      </c>
      <c r="B11" s="909">
        <v>46022</v>
      </c>
      <c r="C11" s="909"/>
      <c r="D11" s="909"/>
    </row>
    <row r="12" spans="1:5" x14ac:dyDescent="0.2">
      <c r="A12" s="107"/>
      <c r="B12" s="107"/>
      <c r="C12" s="107"/>
      <c r="D12" s="107"/>
    </row>
    <row r="14" spans="1:5" ht="50.25" customHeight="1" x14ac:dyDescent="0.2">
      <c r="A14" s="475" t="s">
        <v>272</v>
      </c>
      <c r="B14" s="914"/>
      <c r="C14" s="914"/>
      <c r="D14" s="914"/>
    </row>
    <row r="15" spans="1:5" ht="21" customHeight="1" x14ac:dyDescent="0.4">
      <c r="B15" s="473"/>
      <c r="C15" s="474"/>
      <c r="D15" s="474"/>
    </row>
    <row r="16" spans="1:5" ht="30" customHeight="1" x14ac:dyDescent="0.2">
      <c r="A16" s="116" t="s">
        <v>266</v>
      </c>
      <c r="B16" s="914"/>
      <c r="C16" s="914"/>
      <c r="D16" s="914"/>
    </row>
    <row r="17" spans="1:5" ht="21" customHeight="1" x14ac:dyDescent="0.4">
      <c r="B17" s="473"/>
      <c r="C17" s="474"/>
      <c r="D17" s="474"/>
    </row>
    <row r="18" spans="1:5" ht="30" customHeight="1" x14ac:dyDescent="0.2">
      <c r="A18" s="116" t="s">
        <v>267</v>
      </c>
      <c r="B18" s="914"/>
      <c r="C18" s="914"/>
      <c r="D18" s="914"/>
    </row>
    <row r="19" spans="1:5" ht="21" customHeight="1" x14ac:dyDescent="0.4">
      <c r="B19" s="473"/>
      <c r="C19" s="474"/>
      <c r="D19" s="474"/>
    </row>
    <row r="20" spans="1:5" ht="12.75" customHeight="1" x14ac:dyDescent="0.2">
      <c r="A20" s="912" t="s">
        <v>268</v>
      </c>
      <c r="B20" s="911"/>
      <c r="C20" s="911"/>
      <c r="D20" s="911"/>
    </row>
    <row r="21" spans="1:5" x14ac:dyDescent="0.2">
      <c r="A21" s="913"/>
      <c r="B21" s="911"/>
      <c r="C21" s="911"/>
      <c r="D21" s="911"/>
    </row>
    <row r="22" spans="1:5" x14ac:dyDescent="0.2">
      <c r="A22" s="913"/>
      <c r="B22" s="911"/>
      <c r="C22" s="911"/>
      <c r="D22" s="911"/>
    </row>
    <row r="23" spans="1:5" x14ac:dyDescent="0.2">
      <c r="A23" s="913"/>
      <c r="B23" s="911"/>
      <c r="C23" s="911"/>
      <c r="D23" s="911"/>
    </row>
    <row r="24" spans="1:5" x14ac:dyDescent="0.2">
      <c r="A24" s="913"/>
      <c r="B24" s="911"/>
      <c r="C24" s="911"/>
      <c r="D24" s="911"/>
    </row>
    <row r="25" spans="1:5" ht="6.75" customHeight="1" x14ac:dyDescent="0.2"/>
    <row r="26" spans="1:5" ht="21" customHeight="1" thickBot="1" x14ac:dyDescent="0.25">
      <c r="A26" s="234"/>
      <c r="B26" s="234"/>
      <c r="C26" s="234"/>
      <c r="D26" s="234"/>
    </row>
    <row r="27" spans="1:5" s="85" customFormat="1" ht="18.75" x14ac:dyDescent="0.25">
      <c r="B27" s="518"/>
      <c r="C27" s="518"/>
      <c r="D27" s="518"/>
      <c r="E27" s="518"/>
    </row>
    <row r="28" spans="1:5" s="85" customFormat="1" ht="0.75" customHeight="1" x14ac:dyDescent="0.25"/>
    <row r="29" spans="1:5" s="85" customFormat="1" ht="22.5" customHeight="1" x14ac:dyDescent="0.25">
      <c r="A29" s="8" t="s">
        <v>404</v>
      </c>
      <c r="B29" s="517" t="s">
        <v>405</v>
      </c>
      <c r="C29" s="517"/>
      <c r="D29" s="517"/>
      <c r="E29" s="4"/>
    </row>
    <row r="30" spans="1:5" s="85" customFormat="1" ht="17.25" customHeight="1" x14ac:dyDescent="0.25">
      <c r="A30" s="512"/>
      <c r="B30" s="4"/>
      <c r="C30" s="4"/>
      <c r="D30" s="4"/>
      <c r="E30" s="4"/>
    </row>
    <row r="31" spans="1:5" s="85" customFormat="1" ht="22.5" customHeight="1" x14ac:dyDescent="0.25">
      <c r="A31" s="512"/>
      <c r="B31" s="908"/>
      <c r="C31" s="908"/>
      <c r="D31" s="908"/>
      <c r="E31" s="4"/>
    </row>
    <row r="32" spans="1:5" s="85" customFormat="1" ht="22.5" customHeight="1" x14ac:dyDescent="0.25">
      <c r="A32" s="512"/>
      <c r="B32" s="4"/>
      <c r="C32" s="4"/>
      <c r="D32" s="4"/>
      <c r="E32" s="4"/>
    </row>
    <row r="33" spans="1:5" s="85" customFormat="1" ht="18.75" x14ac:dyDescent="0.25">
      <c r="A33" s="8" t="s">
        <v>362</v>
      </c>
      <c r="B33" s="4" t="s">
        <v>359</v>
      </c>
      <c r="C33" s="4"/>
      <c r="D33" s="513"/>
      <c r="E33" s="4"/>
    </row>
    <row r="34" spans="1:5" s="85" customFormat="1" ht="18.75" x14ac:dyDescent="0.25">
      <c r="A34" s="4"/>
      <c r="B34" s="4" t="s">
        <v>360</v>
      </c>
      <c r="C34" s="4"/>
      <c r="D34" s="4"/>
      <c r="E34" s="4"/>
    </row>
    <row r="35" spans="1:5" s="85" customFormat="1" ht="18.75" x14ac:dyDescent="0.25">
      <c r="A35" s="4"/>
      <c r="B35" s="4" t="s">
        <v>361</v>
      </c>
      <c r="C35" s="4"/>
      <c r="D35" s="4"/>
      <c r="E35" s="4"/>
    </row>
    <row r="36" spans="1:5" s="85" customFormat="1" ht="25.5" customHeight="1" x14ac:dyDescent="0.25">
      <c r="A36" s="4"/>
      <c r="B36" s="4"/>
      <c r="C36" s="4"/>
      <c r="D36" s="4"/>
      <c r="E36" s="4"/>
    </row>
    <row r="37" spans="1:5" s="85" customFormat="1" ht="12.75" customHeight="1" x14ac:dyDescent="0.25">
      <c r="A37" s="8" t="s">
        <v>366</v>
      </c>
      <c r="B37" s="514" t="s">
        <v>365</v>
      </c>
      <c r="C37" s="4"/>
      <c r="D37" s="673"/>
      <c r="E37" s="4"/>
    </row>
    <row r="38" spans="1:5" s="85" customFormat="1" ht="10.5" customHeight="1" x14ac:dyDescent="0.25">
      <c r="A38" s="515"/>
      <c r="B38" s="514"/>
      <c r="C38" s="4"/>
      <c r="D38" s="135"/>
      <c r="E38" s="4"/>
    </row>
    <row r="39" spans="1:5" x14ac:dyDescent="0.2">
      <c r="A39" s="516"/>
      <c r="B39" s="514" t="s">
        <v>37</v>
      </c>
      <c r="D39" s="673"/>
    </row>
    <row r="40" spans="1:5" s="85" customFormat="1" ht="10.5" customHeight="1" x14ac:dyDescent="0.25">
      <c r="A40" s="4"/>
      <c r="B40" s="514"/>
      <c r="C40" s="4"/>
      <c r="D40" s="135"/>
      <c r="E40" s="4"/>
    </row>
    <row r="41" spans="1:5" x14ac:dyDescent="0.2">
      <c r="B41" s="514" t="s">
        <v>363</v>
      </c>
      <c r="D41" s="673"/>
    </row>
    <row r="42" spans="1:5" s="85" customFormat="1" ht="10.5" customHeight="1" x14ac:dyDescent="0.25">
      <c r="A42" s="4"/>
      <c r="B42" s="514"/>
      <c r="C42" s="4"/>
      <c r="D42" s="135"/>
      <c r="E42" s="4"/>
    </row>
    <row r="43" spans="1:5" x14ac:dyDescent="0.2">
      <c r="B43" s="514" t="s">
        <v>364</v>
      </c>
      <c r="D43" s="673"/>
    </row>
    <row r="44" spans="1:5" x14ac:dyDescent="0.2">
      <c r="D44" s="517"/>
    </row>
  </sheetData>
  <sheetProtection sheet="1"/>
  <protectedRanges>
    <protectedRange sqref="B31" name="Bereich5"/>
    <protectedRange sqref="D37" name="Bereich1"/>
    <protectedRange sqref="D39" name="Bereich2"/>
    <protectedRange sqref="D41" name="Bereich3"/>
    <protectedRange sqref="D43" name="Bereich4"/>
  </protectedRanges>
  <customSheetViews>
    <customSheetView guid="{B919D2EB-D122-4E25-8E52-25BE88B69D9E}" showGridLines="0" zeroValues="0">
      <selection activeCell="B14" sqref="B14:D14"/>
      <pageMargins left="0.86" right="0.35433070866141736" top="0.70866141732283472" bottom="0.51" header="0.51181102362204722" footer="0.35"/>
      <pageSetup paperSize="9" orientation="portrait" blackAndWhite="1" r:id="rId1"/>
      <headerFooter alignWithMargins="0">
        <oddFooter>&amp;LDruckdatum: &amp;D</oddFooter>
      </headerFooter>
      <extLst>
        <ext xmlns:xlsdti="http://schemas.microsoft.com/office/spreadsheetml/2023/showDataTypeIcons" uri="{a3c15fd4-4149-4032-8f15-062bd4999b60}">
          <xlsdti:showDataTypeIconsCustomSheetView visible="0"/>
        </ext>
      </extLst>
    </customSheetView>
  </customSheetViews>
  <mergeCells count="8">
    <mergeCell ref="B31:D31"/>
    <mergeCell ref="B11:D11"/>
    <mergeCell ref="B7:D7"/>
    <mergeCell ref="B20:D24"/>
    <mergeCell ref="A20:A24"/>
    <mergeCell ref="B14:D14"/>
    <mergeCell ref="B16:D16"/>
    <mergeCell ref="B18:D18"/>
  </mergeCells>
  <phoneticPr fontId="16" type="noConversion"/>
  <pageMargins left="0.86614173228346458" right="0.35433070866141736" top="0.70866141732283472" bottom="0.51181102362204722" header="0.51181102362204722" footer="0.35433070866141736"/>
  <pageSetup paperSize="9" orientation="portrait" blackAndWhite="1" r:id="rId2"/>
  <headerFooter alignWithMargins="0">
    <oddFooter>&amp;L    Druckdatum: &amp;D&amp;C&amp;8(C) Lerch Treuhand AG, Itingen</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6388" r:id="rId5" name="Check Box 4">
              <controlPr defaultSize="0" autoFill="0" autoLine="0" autoPict="0">
                <anchor moveWithCells="1">
                  <from>
                    <xdr:col>3</xdr:col>
                    <xdr:colOff>28575</xdr:colOff>
                    <xdr:row>32</xdr:row>
                    <xdr:rowOff>0</xdr:rowOff>
                  </from>
                  <to>
                    <xdr:col>3</xdr:col>
                    <xdr:colOff>333375</xdr:colOff>
                    <xdr:row>32</xdr:row>
                    <xdr:rowOff>228600</xdr:rowOff>
                  </to>
                </anchor>
              </controlPr>
            </control>
          </mc:Choice>
        </mc:AlternateContent>
        <mc:AlternateContent xmlns:mc="http://schemas.openxmlformats.org/markup-compatibility/2006">
          <mc:Choice Requires="x14">
            <control shapeId="16389" r:id="rId6" name="Check Box 5">
              <controlPr defaultSize="0" autoFill="0" autoLine="0" autoPict="0">
                <anchor moveWithCells="1">
                  <from>
                    <xdr:col>3</xdr:col>
                    <xdr:colOff>28575</xdr:colOff>
                    <xdr:row>32</xdr:row>
                    <xdr:rowOff>228600</xdr:rowOff>
                  </from>
                  <to>
                    <xdr:col>3</xdr:col>
                    <xdr:colOff>333375</xdr:colOff>
                    <xdr:row>33</xdr:row>
                    <xdr:rowOff>209550</xdr:rowOff>
                  </to>
                </anchor>
              </controlPr>
            </control>
          </mc:Choice>
        </mc:AlternateContent>
        <mc:AlternateContent xmlns:mc="http://schemas.openxmlformats.org/markup-compatibility/2006">
          <mc:Choice Requires="x14">
            <control shapeId="16390" r:id="rId7" name="Check Box 6">
              <controlPr defaultSize="0" autoFill="0" autoLine="0" autoPict="0">
                <anchor moveWithCells="1">
                  <from>
                    <xdr:col>3</xdr:col>
                    <xdr:colOff>28575</xdr:colOff>
                    <xdr:row>34</xdr:row>
                    <xdr:rowOff>28575</xdr:rowOff>
                  </from>
                  <to>
                    <xdr:col>3</xdr:col>
                    <xdr:colOff>333375</xdr:colOff>
                    <xdr:row>35</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3147D-CD28-46C9-98EE-68E9C06C2E5F}">
  <sheetPr codeName="Tabelle5">
    <tabColor indexed="10"/>
  </sheetPr>
  <dimension ref="A1:L46"/>
  <sheetViews>
    <sheetView showGridLines="0" showZeros="0" zoomScale="90" workbookViewId="0">
      <selection activeCell="D33" sqref="D33:G33"/>
    </sheetView>
  </sheetViews>
  <sheetFormatPr baseColWidth="10" defaultRowHeight="12.75" x14ac:dyDescent="0.2"/>
  <cols>
    <col min="1" max="1" width="39.85546875" customWidth="1"/>
    <col min="2" max="3" width="9.140625" customWidth="1"/>
    <col min="4" max="4" width="3.140625" customWidth="1"/>
    <col min="5" max="5" width="7.7109375" customWidth="1"/>
    <col min="6" max="6" width="2.7109375" customWidth="1"/>
    <col min="7" max="7" width="7.42578125" customWidth="1"/>
    <col min="8" max="8" width="9.140625" customWidth="1"/>
    <col min="9" max="9" width="11.140625" customWidth="1"/>
    <col min="10" max="10" width="5" customWidth="1"/>
  </cols>
  <sheetData>
    <row r="1" spans="1:9" ht="23.25" customHeight="1" x14ac:dyDescent="0.35">
      <c r="A1" s="943">
        <f>DECKBLATT!B14</f>
        <v>0</v>
      </c>
      <c r="B1" s="943"/>
      <c r="C1" s="943"/>
      <c r="E1" s="12"/>
      <c r="F1" s="12"/>
      <c r="G1" s="12"/>
    </row>
    <row r="2" spans="1:9" ht="9.75" customHeight="1" x14ac:dyDescent="0.2">
      <c r="D2" s="12"/>
      <c r="E2" s="12"/>
      <c r="F2" s="12"/>
      <c r="G2" s="12"/>
    </row>
    <row r="3" spans="1:9" ht="17.25" customHeight="1" x14ac:dyDescent="0.2">
      <c r="A3" s="946" t="s">
        <v>413</v>
      </c>
      <c r="E3" s="89"/>
      <c r="F3" s="89"/>
      <c r="G3" s="20"/>
      <c r="H3" s="915">
        <v>46022</v>
      </c>
      <c r="I3" s="915"/>
    </row>
    <row r="4" spans="1:9" ht="19.5" customHeight="1" x14ac:dyDescent="0.2">
      <c r="A4" s="946"/>
      <c r="G4" s="12"/>
      <c r="H4" s="915"/>
      <c r="I4" s="915"/>
    </row>
    <row r="5" spans="1:9" ht="5.25" customHeight="1" thickBot="1" x14ac:dyDescent="0.25">
      <c r="A5" s="9"/>
      <c r="B5" s="9"/>
    </row>
    <row r="6" spans="1:9" ht="18.75" customHeight="1" x14ac:dyDescent="0.25">
      <c r="A6" s="933" t="s">
        <v>528</v>
      </c>
      <c r="B6" s="726"/>
      <c r="C6" s="918" t="s">
        <v>13</v>
      </c>
      <c r="D6" s="920"/>
      <c r="E6" s="918" t="s">
        <v>23</v>
      </c>
      <c r="F6" s="919"/>
      <c r="G6" s="920"/>
      <c r="H6" s="924" t="s">
        <v>24</v>
      </c>
      <c r="I6" s="925"/>
    </row>
    <row r="7" spans="1:9" ht="12.75" customHeight="1" thickBot="1" x14ac:dyDescent="0.25">
      <c r="A7" s="934"/>
      <c r="B7" s="802"/>
      <c r="C7" s="921"/>
      <c r="D7" s="923"/>
      <c r="E7" s="921"/>
      <c r="F7" s="922"/>
      <c r="G7" s="923"/>
      <c r="H7" s="926"/>
      <c r="I7" s="927"/>
    </row>
    <row r="8" spans="1:9" ht="20.25" customHeight="1" x14ac:dyDescent="0.2">
      <c r="A8" s="749" t="s">
        <v>16</v>
      </c>
      <c r="B8" s="796" t="s">
        <v>15</v>
      </c>
      <c r="C8" s="944"/>
      <c r="D8" s="945"/>
      <c r="E8" s="935">
        <v>3000</v>
      </c>
      <c r="F8" s="936"/>
      <c r="G8" s="936"/>
      <c r="H8" s="941">
        <f t="shared" ref="H8:H15" si="0">(C8*E8)</f>
        <v>0</v>
      </c>
      <c r="I8" s="942"/>
    </row>
    <row r="9" spans="1:9" ht="20.25" customHeight="1" x14ac:dyDescent="0.2">
      <c r="A9" s="366" t="s">
        <v>17</v>
      </c>
      <c r="B9" s="727" t="s">
        <v>15</v>
      </c>
      <c r="C9" s="939"/>
      <c r="D9" s="940"/>
      <c r="E9" s="937">
        <v>3000</v>
      </c>
      <c r="F9" s="938"/>
      <c r="G9" s="938"/>
      <c r="H9" s="928">
        <f t="shared" si="0"/>
        <v>0</v>
      </c>
      <c r="I9" s="929"/>
    </row>
    <row r="10" spans="1:9" ht="20.25" customHeight="1" x14ac:dyDescent="0.2">
      <c r="A10" s="366" t="s">
        <v>19</v>
      </c>
      <c r="B10" s="727" t="s">
        <v>18</v>
      </c>
      <c r="C10" s="939"/>
      <c r="D10" s="940"/>
      <c r="E10" s="937">
        <v>2700</v>
      </c>
      <c r="F10" s="938"/>
      <c r="G10" s="938"/>
      <c r="H10" s="928">
        <f t="shared" si="0"/>
        <v>0</v>
      </c>
      <c r="I10" s="929"/>
    </row>
    <row r="11" spans="1:9" ht="20.25" customHeight="1" x14ac:dyDescent="0.2">
      <c r="A11" s="366" t="s">
        <v>20</v>
      </c>
      <c r="B11" s="727" t="s">
        <v>18</v>
      </c>
      <c r="C11" s="939"/>
      <c r="D11" s="940"/>
      <c r="E11" s="937">
        <v>1800</v>
      </c>
      <c r="F11" s="938"/>
      <c r="G11" s="938"/>
      <c r="H11" s="928">
        <f t="shared" si="0"/>
        <v>0</v>
      </c>
      <c r="I11" s="929"/>
    </row>
    <row r="12" spans="1:9" ht="20.25" customHeight="1" x14ac:dyDescent="0.2">
      <c r="A12" s="366" t="s">
        <v>375</v>
      </c>
      <c r="B12" s="727" t="s">
        <v>18</v>
      </c>
      <c r="C12" s="939"/>
      <c r="D12" s="940"/>
      <c r="E12" s="937">
        <v>3000</v>
      </c>
      <c r="F12" s="938"/>
      <c r="G12" s="938"/>
      <c r="H12" s="928">
        <f t="shared" si="0"/>
        <v>0</v>
      </c>
      <c r="I12" s="929"/>
    </row>
    <row r="13" spans="1:9" ht="20.25" customHeight="1" x14ac:dyDescent="0.2">
      <c r="A13" s="366" t="s">
        <v>374</v>
      </c>
      <c r="B13" s="727" t="s">
        <v>18</v>
      </c>
      <c r="C13" s="939"/>
      <c r="D13" s="940"/>
      <c r="E13" s="937">
        <v>900</v>
      </c>
      <c r="F13" s="938"/>
      <c r="G13" s="938"/>
      <c r="H13" s="928">
        <f t="shared" si="0"/>
        <v>0</v>
      </c>
      <c r="I13" s="929"/>
    </row>
    <row r="14" spans="1:9" ht="20.25" customHeight="1" x14ac:dyDescent="0.2">
      <c r="A14" s="366" t="s">
        <v>356</v>
      </c>
      <c r="B14" s="727" t="s">
        <v>18</v>
      </c>
      <c r="C14" s="939"/>
      <c r="D14" s="940"/>
      <c r="E14" s="948">
        <v>600</v>
      </c>
      <c r="F14" s="949"/>
      <c r="G14" s="949"/>
      <c r="H14" s="928">
        <f t="shared" si="0"/>
        <v>0</v>
      </c>
      <c r="I14" s="929"/>
    </row>
    <row r="15" spans="1:9" ht="20.25" customHeight="1" thickBot="1" x14ac:dyDescent="0.25">
      <c r="A15" s="366" t="s">
        <v>452</v>
      </c>
      <c r="B15" s="727" t="s">
        <v>453</v>
      </c>
      <c r="C15" s="950"/>
      <c r="D15" s="951"/>
      <c r="E15" s="952"/>
      <c r="F15" s="953"/>
      <c r="G15" s="953"/>
      <c r="H15" s="930">
        <f t="shared" si="0"/>
        <v>0</v>
      </c>
      <c r="I15" s="929"/>
    </row>
    <row r="16" spans="1:9" s="1" customFormat="1" ht="20.25" customHeight="1" thickBot="1" x14ac:dyDescent="0.25">
      <c r="A16" s="798" t="s">
        <v>10</v>
      </c>
      <c r="B16" s="799"/>
      <c r="C16" s="954">
        <f>SUM(C8:D15)</f>
        <v>0</v>
      </c>
      <c r="D16" s="954"/>
      <c r="E16" s="799"/>
      <c r="F16" s="799"/>
      <c r="G16" s="800"/>
      <c r="H16" s="931">
        <f>SUM(H8:I15)</f>
        <v>0</v>
      </c>
      <c r="I16" s="932"/>
    </row>
    <row r="17" spans="1:12" ht="11.25" customHeight="1" thickBot="1" x14ac:dyDescent="0.25">
      <c r="A17" s="7"/>
      <c r="B17" s="7"/>
    </row>
    <row r="18" spans="1:12" ht="27" customHeight="1" x14ac:dyDescent="0.2">
      <c r="A18" s="933" t="s">
        <v>11</v>
      </c>
      <c r="B18" s="786"/>
      <c r="C18" s="803" t="s">
        <v>7</v>
      </c>
      <c r="D18" s="918" t="s">
        <v>493</v>
      </c>
      <c r="E18" s="919"/>
      <c r="F18" s="919"/>
      <c r="G18" s="920"/>
      <c r="H18" s="916" t="s">
        <v>485</v>
      </c>
      <c r="I18" s="916" t="s">
        <v>486</v>
      </c>
    </row>
    <row r="19" spans="1:12" ht="15" customHeight="1" thickBot="1" x14ac:dyDescent="0.25">
      <c r="A19" s="934"/>
      <c r="B19" s="897"/>
      <c r="C19" s="804" t="s">
        <v>8</v>
      </c>
      <c r="D19" s="921"/>
      <c r="E19" s="922"/>
      <c r="F19" s="922"/>
      <c r="G19" s="923"/>
      <c r="H19" s="917"/>
      <c r="I19" s="917"/>
    </row>
    <row r="20" spans="1:12" ht="23.25" customHeight="1" x14ac:dyDescent="0.2">
      <c r="A20" s="749" t="s">
        <v>274</v>
      </c>
      <c r="B20" s="796" t="s">
        <v>21</v>
      </c>
      <c r="C20" s="896"/>
      <c r="D20" s="975">
        <v>400</v>
      </c>
      <c r="E20" s="976"/>
      <c r="F20" s="976"/>
      <c r="G20" s="976"/>
      <c r="H20" s="837">
        <v>2480</v>
      </c>
      <c r="I20" s="858">
        <f>C20*H20</f>
        <v>0</v>
      </c>
    </row>
    <row r="21" spans="1:12" ht="22.5" customHeight="1" x14ac:dyDescent="0.2">
      <c r="A21" s="366" t="s">
        <v>487</v>
      </c>
      <c r="B21" s="727" t="s">
        <v>21</v>
      </c>
      <c r="C21" s="797"/>
      <c r="D21" s="977">
        <v>220</v>
      </c>
      <c r="E21" s="978"/>
      <c r="F21" s="978"/>
      <c r="G21" s="978"/>
      <c r="H21" s="838">
        <v>1560</v>
      </c>
      <c r="I21" s="859">
        <f>C21*H21</f>
        <v>0</v>
      </c>
      <c r="J21" s="13"/>
      <c r="K21" s="13"/>
      <c r="L21" s="13"/>
    </row>
    <row r="22" spans="1:12" ht="23.25" customHeight="1" thickBot="1" x14ac:dyDescent="0.25">
      <c r="A22" s="887" t="s">
        <v>275</v>
      </c>
      <c r="B22" s="888" t="s">
        <v>21</v>
      </c>
      <c r="C22" s="889"/>
      <c r="D22" s="979">
        <v>100</v>
      </c>
      <c r="E22" s="980"/>
      <c r="F22" s="980"/>
      <c r="G22" s="980"/>
      <c r="H22" s="890">
        <v>800</v>
      </c>
      <c r="I22" s="891">
        <f>C22*H22</f>
        <v>0</v>
      </c>
      <c r="J22" s="13"/>
      <c r="K22" s="13"/>
      <c r="L22" s="13"/>
    </row>
    <row r="23" spans="1:12" ht="21" customHeight="1" thickBot="1" x14ac:dyDescent="0.25">
      <c r="A23" s="957" t="s">
        <v>12</v>
      </c>
      <c r="B23" s="958"/>
      <c r="C23" s="892">
        <f>SUM(C20:C22)</f>
        <v>0</v>
      </c>
      <c r="D23" s="959"/>
      <c r="E23" s="960"/>
      <c r="F23" s="960"/>
      <c r="G23" s="961"/>
      <c r="H23" s="955">
        <f>SUM(I20:I22)</f>
        <v>0</v>
      </c>
      <c r="I23" s="956"/>
    </row>
    <row r="24" spans="1:12" ht="11.25" customHeight="1" thickBot="1" x14ac:dyDescent="0.25">
      <c r="A24" s="7"/>
      <c r="B24" s="7"/>
    </row>
    <row r="25" spans="1:12" ht="25.5" customHeight="1" x14ac:dyDescent="0.2">
      <c r="A25" s="933" t="s">
        <v>524</v>
      </c>
      <c r="B25" s="973" t="s">
        <v>548</v>
      </c>
      <c r="C25" s="803" t="s">
        <v>7</v>
      </c>
      <c r="D25" s="918" t="s">
        <v>493</v>
      </c>
      <c r="E25" s="919"/>
      <c r="F25" s="919"/>
      <c r="G25" s="920"/>
      <c r="H25" s="916" t="s">
        <v>485</v>
      </c>
      <c r="I25" s="916" t="s">
        <v>486</v>
      </c>
    </row>
    <row r="26" spans="1:12" ht="17.25" customHeight="1" thickBot="1" x14ac:dyDescent="0.25">
      <c r="A26" s="934"/>
      <c r="B26" s="974"/>
      <c r="C26" s="804" t="s">
        <v>8</v>
      </c>
      <c r="D26" s="921"/>
      <c r="E26" s="922"/>
      <c r="F26" s="922"/>
      <c r="G26" s="923"/>
      <c r="H26" s="917"/>
      <c r="I26" s="917"/>
    </row>
    <row r="27" spans="1:12" ht="20.25" customHeight="1" x14ac:dyDescent="0.2">
      <c r="A27" s="749" t="s">
        <v>25</v>
      </c>
      <c r="B27" s="796" t="s">
        <v>521</v>
      </c>
      <c r="C27" s="728"/>
      <c r="D27" s="967"/>
      <c r="E27" s="967"/>
      <c r="F27" s="967"/>
      <c r="G27" s="968"/>
      <c r="H27" s="801">
        <f>IF(C27=FALSE,0,LOOKUP(D27,Richtpreise!B$3:$B$22,Richtpreise!$C$3:$C22))</f>
        <v>0</v>
      </c>
      <c r="I27" s="805">
        <f>C27*H27</f>
        <v>0</v>
      </c>
    </row>
    <row r="28" spans="1:12" ht="20.25" customHeight="1" x14ac:dyDescent="0.2">
      <c r="A28" s="749" t="s">
        <v>25</v>
      </c>
      <c r="B28" s="727" t="s">
        <v>521</v>
      </c>
      <c r="C28" s="869"/>
      <c r="D28" s="969"/>
      <c r="E28" s="969"/>
      <c r="F28" s="969"/>
      <c r="G28" s="970"/>
      <c r="H28" s="801">
        <f>IF(C28=FALSE,0,LOOKUP(D28,Richtpreise!B$3:$B$22,Richtpreise!$C$3:$C23))</f>
        <v>0</v>
      </c>
      <c r="I28" s="805">
        <f t="shared" ref="I28:I36" si="1">C28*H28</f>
        <v>0</v>
      </c>
    </row>
    <row r="29" spans="1:12" ht="20.25" customHeight="1" x14ac:dyDescent="0.2">
      <c r="A29" s="366" t="s">
        <v>25</v>
      </c>
      <c r="B29" s="727" t="s">
        <v>521</v>
      </c>
      <c r="C29" s="729"/>
      <c r="D29" s="969"/>
      <c r="E29" s="969"/>
      <c r="F29" s="969"/>
      <c r="G29" s="970"/>
      <c r="H29" s="801">
        <f>IF(C29=FALSE,0,LOOKUP(D29,Richtpreise!B$3:$B$22,Richtpreise!$C$3:$C24))</f>
        <v>0</v>
      </c>
      <c r="I29" s="805">
        <f t="shared" si="1"/>
        <v>0</v>
      </c>
    </row>
    <row r="30" spans="1:12" ht="20.25" customHeight="1" x14ac:dyDescent="0.2">
      <c r="A30" s="366" t="s">
        <v>25</v>
      </c>
      <c r="B30" s="727" t="s">
        <v>521</v>
      </c>
      <c r="C30" s="729"/>
      <c r="D30" s="969"/>
      <c r="E30" s="969"/>
      <c r="F30" s="969"/>
      <c r="G30" s="970"/>
      <c r="H30" s="801">
        <f>IF(C30=FALSE,0,LOOKUP(D30,Richtpreise!B$3:$B$22,Richtpreise!$C$3:$C25))</f>
        <v>0</v>
      </c>
      <c r="I30" s="805">
        <f t="shared" si="1"/>
        <v>0</v>
      </c>
    </row>
    <row r="31" spans="1:12" ht="20.25" customHeight="1" thickBot="1" x14ac:dyDescent="0.25">
      <c r="A31" s="878" t="s">
        <v>25</v>
      </c>
      <c r="B31" s="899" t="s">
        <v>521</v>
      </c>
      <c r="C31" s="730"/>
      <c r="D31" s="965"/>
      <c r="E31" s="965"/>
      <c r="F31" s="965"/>
      <c r="G31" s="966"/>
      <c r="H31" s="879">
        <f>IF(C31=FALSE,0,LOOKUP(D31,Richtpreise!B$3:$B$22,Richtpreise!$C$3:$C26))</f>
        <v>0</v>
      </c>
      <c r="I31" s="880">
        <f t="shared" si="1"/>
        <v>0</v>
      </c>
    </row>
    <row r="32" spans="1:12" ht="20.25" customHeight="1" x14ac:dyDescent="0.2">
      <c r="A32" s="749" t="s">
        <v>525</v>
      </c>
      <c r="B32" s="900" t="s">
        <v>521</v>
      </c>
      <c r="C32" s="869"/>
      <c r="D32" s="967"/>
      <c r="E32" s="967"/>
      <c r="F32" s="967"/>
      <c r="G32" s="968"/>
      <c r="H32" s="801">
        <f>IF(C32=FALSE,0,LOOKUP(D32,Richtpreise!I$3:$I$50,Richtpreise!$M$3:$M50))</f>
        <v>0</v>
      </c>
      <c r="I32" s="805">
        <f t="shared" si="1"/>
        <v>0</v>
      </c>
    </row>
    <row r="33" spans="1:9" ht="20.25" customHeight="1" x14ac:dyDescent="0.2">
      <c r="A33" s="366" t="s">
        <v>525</v>
      </c>
      <c r="B33" s="877" t="s">
        <v>521</v>
      </c>
      <c r="C33" s="729"/>
      <c r="D33" s="969"/>
      <c r="E33" s="969"/>
      <c r="F33" s="969"/>
      <c r="G33" s="970"/>
      <c r="H33" s="801">
        <f>IF(C33=FALSE,0,LOOKUP(D33,Richtpreise!I$3:$I$50,Richtpreise!$M$3:$M51))</f>
        <v>0</v>
      </c>
      <c r="I33" s="805">
        <f t="shared" si="1"/>
        <v>0</v>
      </c>
    </row>
    <row r="34" spans="1:9" ht="20.25" customHeight="1" x14ac:dyDescent="0.2">
      <c r="A34" s="366" t="s">
        <v>525</v>
      </c>
      <c r="B34" s="877" t="s">
        <v>521</v>
      </c>
      <c r="C34" s="729"/>
      <c r="D34" s="969"/>
      <c r="E34" s="969"/>
      <c r="F34" s="969"/>
      <c r="G34" s="970"/>
      <c r="H34" s="801">
        <f>IF(C34=FALSE,0,LOOKUP(D34,Richtpreise!I$3:$I$50,Richtpreise!$M$3:$M52))</f>
        <v>0</v>
      </c>
      <c r="I34" s="805">
        <f t="shared" si="1"/>
        <v>0</v>
      </c>
    </row>
    <row r="35" spans="1:9" ht="20.25" customHeight="1" x14ac:dyDescent="0.2">
      <c r="A35" s="366" t="s">
        <v>525</v>
      </c>
      <c r="B35" s="877" t="s">
        <v>521</v>
      </c>
      <c r="C35" s="729"/>
      <c r="D35" s="969"/>
      <c r="E35" s="969"/>
      <c r="F35" s="969"/>
      <c r="G35" s="970"/>
      <c r="H35" s="801">
        <f>IF(C35=FALSE,0,LOOKUP(D35,Richtpreise!I$3:$I$50,Richtpreise!$M$3:$M53))</f>
        <v>0</v>
      </c>
      <c r="I35" s="805">
        <f t="shared" si="1"/>
        <v>0</v>
      </c>
    </row>
    <row r="36" spans="1:9" ht="20.25" customHeight="1" thickBot="1" x14ac:dyDescent="0.25">
      <c r="A36" s="887" t="s">
        <v>525</v>
      </c>
      <c r="B36" s="901" t="s">
        <v>521</v>
      </c>
      <c r="C36" s="893"/>
      <c r="D36" s="971"/>
      <c r="E36" s="971"/>
      <c r="F36" s="971"/>
      <c r="G36" s="972"/>
      <c r="H36" s="894">
        <f>IF(C36=FALSE,0,LOOKUP(D36,Richtpreise!I$3:$I$50,Richtpreise!$M$3:$M54))</f>
        <v>0</v>
      </c>
      <c r="I36" s="895">
        <f t="shared" si="1"/>
        <v>0</v>
      </c>
    </row>
    <row r="37" spans="1:9" s="31" customFormat="1" ht="21.75" customHeight="1" thickBot="1" x14ac:dyDescent="0.25">
      <c r="A37" s="957" t="s">
        <v>526</v>
      </c>
      <c r="B37" s="958"/>
      <c r="C37" s="892">
        <f>C27+C28+C29+C30+C31+C32+C33+C34+C35+C36</f>
        <v>0</v>
      </c>
      <c r="D37" s="962"/>
      <c r="E37" s="963"/>
      <c r="F37" s="963"/>
      <c r="G37" s="964"/>
      <c r="H37" s="931">
        <f>SUM(I27:I36)</f>
        <v>0</v>
      </c>
      <c r="I37" s="932"/>
    </row>
    <row r="38" spans="1:9" ht="5.25" customHeight="1" x14ac:dyDescent="0.2">
      <c r="A38" s="11"/>
      <c r="B38" s="11"/>
    </row>
    <row r="39" spans="1:9" ht="21.75" customHeight="1" x14ac:dyDescent="0.2">
      <c r="A39" s="867" t="s">
        <v>527</v>
      </c>
      <c r="B39" s="881" t="s">
        <v>349</v>
      </c>
      <c r="C39" s="881" t="s">
        <v>8</v>
      </c>
      <c r="D39" s="1"/>
      <c r="E39" s="1"/>
    </row>
    <row r="40" spans="1:9" ht="15" x14ac:dyDescent="0.2">
      <c r="A40" s="898" t="s">
        <v>352</v>
      </c>
      <c r="B40" s="882"/>
      <c r="C40" s="882"/>
      <c r="D40" s="148"/>
      <c r="E40" s="148"/>
    </row>
    <row r="41" spans="1:9" ht="15" x14ac:dyDescent="0.2">
      <c r="A41" s="898" t="s">
        <v>350</v>
      </c>
      <c r="B41" s="882"/>
      <c r="C41" s="882"/>
      <c r="D41" s="149"/>
      <c r="E41" s="149"/>
      <c r="F41" s="143"/>
      <c r="G41" s="143"/>
    </row>
    <row r="42" spans="1:9" ht="15" x14ac:dyDescent="0.2">
      <c r="A42" s="898" t="s">
        <v>11</v>
      </c>
      <c r="B42" s="882"/>
      <c r="C42" s="882"/>
      <c r="D42" s="147"/>
      <c r="F42" s="140"/>
      <c r="G42" s="140"/>
    </row>
    <row r="43" spans="1:9" ht="15.75" thickBot="1" x14ac:dyDescent="0.25">
      <c r="A43" s="898" t="s">
        <v>550</v>
      </c>
      <c r="B43" s="883"/>
      <c r="C43" s="883"/>
      <c r="D43" s="147"/>
      <c r="E43" s="153" t="s">
        <v>351</v>
      </c>
    </row>
    <row r="44" spans="1:9" ht="16.5" thickBot="1" x14ac:dyDescent="0.3">
      <c r="A44" s="152" t="s">
        <v>354</v>
      </c>
      <c r="B44" s="885"/>
      <c r="C44" s="884"/>
      <c r="D44" s="142"/>
      <c r="E44" s="886"/>
      <c r="F44" s="140"/>
      <c r="G44" s="151" t="s">
        <v>353</v>
      </c>
      <c r="H44" s="145"/>
    </row>
    <row r="45" spans="1:9" x14ac:dyDescent="0.2">
      <c r="C45" s="947"/>
      <c r="D45" s="947"/>
      <c r="E45" s="947"/>
      <c r="F45" s="144"/>
      <c r="G45" s="150"/>
      <c r="H45" s="146"/>
    </row>
    <row r="46" spans="1:9" x14ac:dyDescent="0.2">
      <c r="H46" s="140"/>
    </row>
  </sheetData>
  <sheetProtection sheet="1"/>
  <protectedRanges>
    <protectedRange sqref="C8:D14" name="Bereich1"/>
    <protectedRange sqref="C20:C22" name="Bereich2"/>
  </protectedRanges>
  <customSheetViews>
    <customSheetView guid="{B919D2EB-D122-4E25-8E52-25BE88B69D9E}" scale="90" showPageBreaks="1" showGridLines="0" zeroValues="0" printArea="1">
      <selection activeCell="Q59" sqref="Q59"/>
      <pageMargins left="0.34" right="0.23622047244094491" top="0.39370078740157483" bottom="0.11811023622047245" header="0.39370078740157483" footer="0.31496062992125984"/>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62">
    <mergeCell ref="B25:B26"/>
    <mergeCell ref="H18:H19"/>
    <mergeCell ref="I18:I19"/>
    <mergeCell ref="D20:G20"/>
    <mergeCell ref="D21:G21"/>
    <mergeCell ref="D22:G22"/>
    <mergeCell ref="D27:G27"/>
    <mergeCell ref="D33:G33"/>
    <mergeCell ref="D34:G34"/>
    <mergeCell ref="D29:G29"/>
    <mergeCell ref="D30:G30"/>
    <mergeCell ref="D28:G28"/>
    <mergeCell ref="H37:I37"/>
    <mergeCell ref="H23:I23"/>
    <mergeCell ref="A37:B37"/>
    <mergeCell ref="A23:B23"/>
    <mergeCell ref="D23:G23"/>
    <mergeCell ref="D37:G37"/>
    <mergeCell ref="D31:G31"/>
    <mergeCell ref="D32:G32"/>
    <mergeCell ref="D35:G35"/>
    <mergeCell ref="D36:G36"/>
    <mergeCell ref="C9:D9"/>
    <mergeCell ref="A6:A7"/>
    <mergeCell ref="A3:A4"/>
    <mergeCell ref="E6:G7"/>
    <mergeCell ref="C45:E45"/>
    <mergeCell ref="C13:D13"/>
    <mergeCell ref="E14:G14"/>
    <mergeCell ref="C15:D15"/>
    <mergeCell ref="E15:G15"/>
    <mergeCell ref="C16:D16"/>
    <mergeCell ref="H8:I8"/>
    <mergeCell ref="H9:I9"/>
    <mergeCell ref="H10:I10"/>
    <mergeCell ref="H14:I14"/>
    <mergeCell ref="A1:C1"/>
    <mergeCell ref="C14:D14"/>
    <mergeCell ref="C10:D10"/>
    <mergeCell ref="C11:D11"/>
    <mergeCell ref="C6:D7"/>
    <mergeCell ref="C8:D8"/>
    <mergeCell ref="A18:A19"/>
    <mergeCell ref="A25:A26"/>
    <mergeCell ref="E8:G8"/>
    <mergeCell ref="E9:G9"/>
    <mergeCell ref="E10:G10"/>
    <mergeCell ref="E11:G11"/>
    <mergeCell ref="E12:G12"/>
    <mergeCell ref="E13:G13"/>
    <mergeCell ref="D18:G19"/>
    <mergeCell ref="C12:D12"/>
    <mergeCell ref="H3:I4"/>
    <mergeCell ref="I25:I26"/>
    <mergeCell ref="D25:G26"/>
    <mergeCell ref="H25:H26"/>
    <mergeCell ref="H6:I7"/>
    <mergeCell ref="H11:I11"/>
    <mergeCell ref="H12:I12"/>
    <mergeCell ref="H13:I13"/>
    <mergeCell ref="H15:I15"/>
    <mergeCell ref="H16:I16"/>
  </mergeCells>
  <phoneticPr fontId="16" type="noConversion"/>
  <pageMargins left="0.35433070866141736" right="0.23622047244094491" top="0.39370078740157483" bottom="0" header="0.39370078740157483" footer="0.31496062992125984"/>
  <pageSetup paperSize="9" orientation="portrait" blackAndWhite="1" r:id="rId2"/>
  <headerFooter alignWithMargins="0">
    <oddFooter>&amp;L&amp;8(C) Lerch Treuhand AG, Itingen</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B6102-F650-44E5-B185-E03690A9C460}">
  <sheetPr codeName="Tabelle17">
    <tabColor indexed="8"/>
    <pageSetUpPr fitToPage="1"/>
  </sheetPr>
  <dimension ref="B1:N62"/>
  <sheetViews>
    <sheetView showGridLines="0" zoomScale="150" zoomScaleNormal="100" workbookViewId="0">
      <selection activeCell="J22" sqref="J22"/>
    </sheetView>
  </sheetViews>
  <sheetFormatPr baseColWidth="10" defaultRowHeight="12.75" x14ac:dyDescent="0.2"/>
  <cols>
    <col min="1" max="1" width="3" style="29" customWidth="1"/>
    <col min="2" max="2" width="4.7109375" style="827" customWidth="1"/>
    <col min="3" max="3" width="6.7109375" style="827" customWidth="1"/>
    <col min="4" max="4" width="8.7109375" style="29" customWidth="1"/>
    <col min="5" max="5" width="4.7109375" style="29" customWidth="1"/>
    <col min="6" max="6" width="9" style="29" customWidth="1"/>
    <col min="7" max="8" width="11.42578125" style="29"/>
    <col min="9" max="9" width="4.7109375" style="827" customWidth="1"/>
    <col min="10" max="10" width="7.140625" style="827" customWidth="1"/>
    <col min="11" max="11" width="6.42578125" style="827" customWidth="1"/>
    <col min="12" max="12" width="7.7109375" style="29" customWidth="1"/>
    <col min="13" max="13" width="8.28515625" style="29" customWidth="1"/>
    <col min="14" max="16384" width="11.42578125" style="29"/>
  </cols>
  <sheetData>
    <row r="1" spans="2:14" s="32" customFormat="1" ht="12" customHeight="1" thickBot="1" x14ac:dyDescent="0.25">
      <c r="B1" s="32" t="s">
        <v>477</v>
      </c>
      <c r="E1" s="32" t="s">
        <v>11</v>
      </c>
      <c r="I1" s="32" t="s">
        <v>393</v>
      </c>
      <c r="L1" s="870" t="s">
        <v>523</v>
      </c>
    </row>
    <row r="2" spans="2:14" ht="12" customHeight="1" thickBot="1" x14ac:dyDescent="0.25">
      <c r="B2" s="816" t="s">
        <v>22</v>
      </c>
      <c r="C2" s="839" t="s">
        <v>546</v>
      </c>
      <c r="E2" s="816" t="s">
        <v>22</v>
      </c>
      <c r="F2" s="839" t="s">
        <v>546</v>
      </c>
      <c r="I2" s="816" t="s">
        <v>22</v>
      </c>
      <c r="J2" s="839" t="s">
        <v>546</v>
      </c>
      <c r="K2" s="874" t="s">
        <v>522</v>
      </c>
      <c r="L2" s="873">
        <v>21</v>
      </c>
    </row>
    <row r="3" spans="2:14" ht="12" customHeight="1" x14ac:dyDescent="0.2">
      <c r="B3" s="817">
        <v>30</v>
      </c>
      <c r="C3" s="815">
        <v>120</v>
      </c>
      <c r="D3" s="905">
        <v>-50</v>
      </c>
      <c r="E3" s="817">
        <v>30</v>
      </c>
      <c r="F3" s="815">
        <v>260</v>
      </c>
      <c r="G3" s="851"/>
      <c r="I3" s="817"/>
      <c r="J3" s="817"/>
      <c r="K3" s="815"/>
      <c r="L3" s="815"/>
      <c r="M3" s="876" t="s">
        <v>549</v>
      </c>
      <c r="N3" s="851"/>
    </row>
    <row r="4" spans="2:14" ht="12" customHeight="1" x14ac:dyDescent="0.2">
      <c r="B4" s="817">
        <v>40</v>
      </c>
      <c r="C4" s="850">
        <v>170</v>
      </c>
      <c r="D4" s="905">
        <f>C3-C4</f>
        <v>-50</v>
      </c>
      <c r="E4" s="817">
        <v>40</v>
      </c>
      <c r="F4" s="850">
        <v>340</v>
      </c>
      <c r="G4" s="853">
        <f>F3-F4</f>
        <v>-80</v>
      </c>
      <c r="I4" s="817">
        <v>40</v>
      </c>
      <c r="J4" s="871">
        <v>340</v>
      </c>
      <c r="K4" s="872">
        <f>J4*$L$2/100</f>
        <v>71.400000000000006</v>
      </c>
      <c r="L4" s="872">
        <f>J4+K4</f>
        <v>411.4</v>
      </c>
      <c r="M4" s="875">
        <v>411</v>
      </c>
      <c r="N4" s="853"/>
    </row>
    <row r="5" spans="2:14" ht="12" customHeight="1" x14ac:dyDescent="0.2">
      <c r="B5" s="818">
        <v>50</v>
      </c>
      <c r="C5" s="815">
        <v>230</v>
      </c>
      <c r="D5" s="905">
        <f t="shared" ref="D5:D22" si="0">C4-C5</f>
        <v>-60</v>
      </c>
      <c r="E5" s="818">
        <v>50</v>
      </c>
      <c r="F5" s="815">
        <v>420</v>
      </c>
      <c r="G5" s="853">
        <f t="shared" ref="G5:G60" si="1">F4-F5</f>
        <v>-80</v>
      </c>
      <c r="I5" s="818">
        <v>50</v>
      </c>
      <c r="J5" s="817">
        <v>420</v>
      </c>
      <c r="K5" s="872">
        <f t="shared" ref="K5:K50" si="2">J5*$L$2/100</f>
        <v>88.2</v>
      </c>
      <c r="L5" s="872">
        <f t="shared" ref="L5:L50" si="3">J5+K5</f>
        <v>508.2</v>
      </c>
      <c r="M5" s="850">
        <v>508</v>
      </c>
      <c r="N5" s="853">
        <f t="shared" ref="N5:N50" si="4">M4-M5</f>
        <v>-97</v>
      </c>
    </row>
    <row r="6" spans="2:14" ht="12" customHeight="1" x14ac:dyDescent="0.2">
      <c r="B6" s="818">
        <v>60</v>
      </c>
      <c r="C6" s="850">
        <v>290</v>
      </c>
      <c r="D6" s="905">
        <f t="shared" si="0"/>
        <v>-60</v>
      </c>
      <c r="E6" s="818">
        <v>60</v>
      </c>
      <c r="F6" s="850">
        <v>500</v>
      </c>
      <c r="G6" s="853">
        <f t="shared" si="1"/>
        <v>-80</v>
      </c>
      <c r="I6" s="818">
        <v>60</v>
      </c>
      <c r="J6" s="871">
        <v>500</v>
      </c>
      <c r="K6" s="872">
        <f t="shared" si="2"/>
        <v>105</v>
      </c>
      <c r="L6" s="872">
        <f t="shared" si="3"/>
        <v>605</v>
      </c>
      <c r="M6" s="850">
        <v>605</v>
      </c>
      <c r="N6" s="853">
        <f t="shared" si="4"/>
        <v>-97</v>
      </c>
    </row>
    <row r="7" spans="2:14" ht="12" customHeight="1" x14ac:dyDescent="0.2">
      <c r="B7" s="818">
        <v>70</v>
      </c>
      <c r="C7" s="815">
        <v>360</v>
      </c>
      <c r="D7" s="905">
        <f t="shared" si="0"/>
        <v>-70</v>
      </c>
      <c r="E7" s="818">
        <v>70</v>
      </c>
      <c r="F7" s="815">
        <v>575</v>
      </c>
      <c r="G7" s="853">
        <f t="shared" si="1"/>
        <v>-75</v>
      </c>
      <c r="I7" s="818">
        <v>70</v>
      </c>
      <c r="J7" s="817">
        <v>575</v>
      </c>
      <c r="K7" s="872">
        <f t="shared" si="2"/>
        <v>120.75</v>
      </c>
      <c r="L7" s="872">
        <f t="shared" si="3"/>
        <v>695.75</v>
      </c>
      <c r="M7" s="850">
        <v>696</v>
      </c>
      <c r="N7" s="853">
        <f t="shared" si="4"/>
        <v>-91</v>
      </c>
    </row>
    <row r="8" spans="2:14" ht="12" customHeight="1" x14ac:dyDescent="0.2">
      <c r="B8" s="818">
        <v>80</v>
      </c>
      <c r="C8" s="850">
        <v>430</v>
      </c>
      <c r="D8" s="905">
        <f t="shared" si="0"/>
        <v>-70</v>
      </c>
      <c r="E8" s="818">
        <v>80</v>
      </c>
      <c r="F8" s="850">
        <v>650</v>
      </c>
      <c r="G8" s="853">
        <f t="shared" si="1"/>
        <v>-75</v>
      </c>
      <c r="I8" s="818">
        <v>80</v>
      </c>
      <c r="J8" s="871">
        <v>650</v>
      </c>
      <c r="K8" s="872">
        <f t="shared" si="2"/>
        <v>136.5</v>
      </c>
      <c r="L8" s="872">
        <f t="shared" si="3"/>
        <v>786.5</v>
      </c>
      <c r="M8" s="850">
        <v>787</v>
      </c>
      <c r="N8" s="853">
        <f t="shared" si="4"/>
        <v>-91</v>
      </c>
    </row>
    <row r="9" spans="2:14" ht="12" customHeight="1" x14ac:dyDescent="0.2">
      <c r="B9" s="818">
        <v>90</v>
      </c>
      <c r="C9" s="815">
        <v>510</v>
      </c>
      <c r="D9" s="905">
        <f t="shared" si="0"/>
        <v>-80</v>
      </c>
      <c r="E9" s="818">
        <v>90</v>
      </c>
      <c r="F9" s="815">
        <v>725</v>
      </c>
      <c r="G9" s="853">
        <f t="shared" si="1"/>
        <v>-75</v>
      </c>
      <c r="I9" s="818">
        <v>90</v>
      </c>
      <c r="J9" s="817">
        <v>725</v>
      </c>
      <c r="K9" s="872">
        <f t="shared" si="2"/>
        <v>152.25</v>
      </c>
      <c r="L9" s="872">
        <f t="shared" si="3"/>
        <v>877.25</v>
      </c>
      <c r="M9" s="850">
        <v>877</v>
      </c>
      <c r="N9" s="853">
        <f t="shared" si="4"/>
        <v>-90</v>
      </c>
    </row>
    <row r="10" spans="2:14" ht="12" customHeight="1" x14ac:dyDescent="0.2">
      <c r="B10" s="818">
        <v>100</v>
      </c>
      <c r="C10" s="850">
        <v>590</v>
      </c>
      <c r="D10" s="905">
        <f t="shared" si="0"/>
        <v>-80</v>
      </c>
      <c r="E10" s="818">
        <v>100</v>
      </c>
      <c r="F10" s="850">
        <v>800</v>
      </c>
      <c r="G10" s="853">
        <f t="shared" si="1"/>
        <v>-75</v>
      </c>
      <c r="I10" s="818">
        <v>100</v>
      </c>
      <c r="J10" s="871">
        <v>800</v>
      </c>
      <c r="K10" s="872">
        <f t="shared" si="2"/>
        <v>168</v>
      </c>
      <c r="L10" s="872">
        <f t="shared" si="3"/>
        <v>968</v>
      </c>
      <c r="M10" s="850">
        <v>968</v>
      </c>
      <c r="N10" s="853">
        <f t="shared" si="4"/>
        <v>-91</v>
      </c>
    </row>
    <row r="11" spans="2:14" ht="12" customHeight="1" x14ac:dyDescent="0.2">
      <c r="B11" s="818">
        <v>110</v>
      </c>
      <c r="C11" s="815">
        <v>680</v>
      </c>
      <c r="D11" s="905">
        <f t="shared" si="0"/>
        <v>-90</v>
      </c>
      <c r="E11" s="818">
        <v>110</v>
      </c>
      <c r="F11" s="815">
        <v>870</v>
      </c>
      <c r="G11" s="853">
        <f t="shared" si="1"/>
        <v>-70</v>
      </c>
      <c r="I11" s="818">
        <v>110</v>
      </c>
      <c r="J11" s="817">
        <v>870</v>
      </c>
      <c r="K11" s="872">
        <f t="shared" si="2"/>
        <v>182.7</v>
      </c>
      <c r="L11" s="872">
        <f t="shared" si="3"/>
        <v>1052.7</v>
      </c>
      <c r="M11" s="850">
        <v>1053</v>
      </c>
      <c r="N11" s="853">
        <f t="shared" si="4"/>
        <v>-85</v>
      </c>
    </row>
    <row r="12" spans="2:14" ht="12" customHeight="1" x14ac:dyDescent="0.2">
      <c r="B12" s="818">
        <v>120</v>
      </c>
      <c r="C12" s="850">
        <v>775</v>
      </c>
      <c r="D12" s="905">
        <f t="shared" si="0"/>
        <v>-95</v>
      </c>
      <c r="E12" s="818">
        <v>120</v>
      </c>
      <c r="F12" s="850">
        <v>940</v>
      </c>
      <c r="G12" s="853">
        <f t="shared" si="1"/>
        <v>-70</v>
      </c>
      <c r="I12" s="818">
        <v>120</v>
      </c>
      <c r="J12" s="871">
        <v>940</v>
      </c>
      <c r="K12" s="872">
        <f t="shared" si="2"/>
        <v>197.4</v>
      </c>
      <c r="L12" s="872">
        <f t="shared" si="3"/>
        <v>1137.4000000000001</v>
      </c>
      <c r="M12" s="850">
        <v>1137</v>
      </c>
      <c r="N12" s="853">
        <f t="shared" si="4"/>
        <v>-84</v>
      </c>
    </row>
    <row r="13" spans="2:14" ht="12" customHeight="1" x14ac:dyDescent="0.2">
      <c r="B13" s="818">
        <v>130</v>
      </c>
      <c r="C13" s="815">
        <v>880</v>
      </c>
      <c r="D13" s="905">
        <f t="shared" si="0"/>
        <v>-105</v>
      </c>
      <c r="E13" s="818">
        <v>130</v>
      </c>
      <c r="F13" s="815">
        <v>1010</v>
      </c>
      <c r="G13" s="853">
        <f t="shared" si="1"/>
        <v>-70</v>
      </c>
      <c r="I13" s="818">
        <v>130</v>
      </c>
      <c r="J13" s="817">
        <v>1010</v>
      </c>
      <c r="K13" s="872">
        <f t="shared" si="2"/>
        <v>212.1</v>
      </c>
      <c r="L13" s="872">
        <f t="shared" si="3"/>
        <v>1222.0999999999999</v>
      </c>
      <c r="M13" s="850">
        <v>1222</v>
      </c>
      <c r="N13" s="853">
        <f t="shared" si="4"/>
        <v>-85</v>
      </c>
    </row>
    <row r="14" spans="2:14" ht="12" customHeight="1" x14ac:dyDescent="0.2">
      <c r="B14" s="818">
        <v>140</v>
      </c>
      <c r="C14" s="850">
        <v>980</v>
      </c>
      <c r="D14" s="905">
        <f t="shared" si="0"/>
        <v>-100</v>
      </c>
      <c r="E14" s="818">
        <v>140</v>
      </c>
      <c r="F14" s="850">
        <v>1080</v>
      </c>
      <c r="G14" s="853">
        <f t="shared" si="1"/>
        <v>-70</v>
      </c>
      <c r="I14" s="818">
        <v>140</v>
      </c>
      <c r="J14" s="871">
        <v>1080</v>
      </c>
      <c r="K14" s="872">
        <f t="shared" si="2"/>
        <v>226.8</v>
      </c>
      <c r="L14" s="872">
        <f t="shared" si="3"/>
        <v>1306.8</v>
      </c>
      <c r="M14" s="850">
        <v>1307</v>
      </c>
      <c r="N14" s="853">
        <f t="shared" si="4"/>
        <v>-85</v>
      </c>
    </row>
    <row r="15" spans="2:14" ht="12" customHeight="1" x14ac:dyDescent="0.2">
      <c r="B15" s="818">
        <v>150</v>
      </c>
      <c r="C15" s="815">
        <v>1095</v>
      </c>
      <c r="D15" s="905">
        <f t="shared" si="0"/>
        <v>-115</v>
      </c>
      <c r="E15" s="818">
        <v>150</v>
      </c>
      <c r="F15" s="815">
        <v>1145</v>
      </c>
      <c r="G15" s="853">
        <f t="shared" si="1"/>
        <v>-65</v>
      </c>
      <c r="I15" s="818">
        <v>150</v>
      </c>
      <c r="J15" s="817">
        <v>1145</v>
      </c>
      <c r="K15" s="872">
        <f t="shared" si="2"/>
        <v>240.45</v>
      </c>
      <c r="L15" s="872">
        <f t="shared" si="3"/>
        <v>1385.45</v>
      </c>
      <c r="M15" s="850">
        <v>1385</v>
      </c>
      <c r="N15" s="853">
        <f t="shared" si="4"/>
        <v>-78</v>
      </c>
    </row>
    <row r="16" spans="2:14" ht="12" customHeight="1" x14ac:dyDescent="0.2">
      <c r="B16" s="818">
        <v>160</v>
      </c>
      <c r="C16" s="850">
        <v>1210</v>
      </c>
      <c r="D16" s="905">
        <f t="shared" si="0"/>
        <v>-115</v>
      </c>
      <c r="E16" s="818">
        <v>160</v>
      </c>
      <c r="F16" s="850">
        <v>1210</v>
      </c>
      <c r="G16" s="853">
        <f t="shared" si="1"/>
        <v>-65</v>
      </c>
      <c r="I16" s="818">
        <v>160</v>
      </c>
      <c r="J16" s="871">
        <v>1210</v>
      </c>
      <c r="K16" s="872">
        <f t="shared" si="2"/>
        <v>254.1</v>
      </c>
      <c r="L16" s="872">
        <f t="shared" si="3"/>
        <v>1464.1</v>
      </c>
      <c r="M16" s="850">
        <v>1464</v>
      </c>
      <c r="N16" s="853">
        <f t="shared" si="4"/>
        <v>-79</v>
      </c>
    </row>
    <row r="17" spans="2:14" ht="12" customHeight="1" x14ac:dyDescent="0.2">
      <c r="B17" s="818">
        <v>170</v>
      </c>
      <c r="C17" s="815">
        <v>1335</v>
      </c>
      <c r="D17" s="905">
        <f t="shared" si="0"/>
        <v>-125</v>
      </c>
      <c r="E17" s="818">
        <v>170</v>
      </c>
      <c r="F17" s="815">
        <v>1270</v>
      </c>
      <c r="G17" s="853">
        <f t="shared" si="1"/>
        <v>-60</v>
      </c>
      <c r="I17" s="818">
        <v>170</v>
      </c>
      <c r="J17" s="817">
        <v>1270</v>
      </c>
      <c r="K17" s="872">
        <f t="shared" si="2"/>
        <v>266.7</v>
      </c>
      <c r="L17" s="872">
        <f t="shared" si="3"/>
        <v>1536.7</v>
      </c>
      <c r="M17" s="850">
        <v>1537</v>
      </c>
      <c r="N17" s="853">
        <f t="shared" si="4"/>
        <v>-73</v>
      </c>
    </row>
    <row r="18" spans="2:14" ht="12" customHeight="1" x14ac:dyDescent="0.2">
      <c r="B18" s="818">
        <v>180</v>
      </c>
      <c r="C18" s="850">
        <v>1460</v>
      </c>
      <c r="D18" s="905">
        <f t="shared" si="0"/>
        <v>-125</v>
      </c>
      <c r="E18" s="818">
        <v>180</v>
      </c>
      <c r="F18" s="850">
        <v>1330</v>
      </c>
      <c r="G18" s="853">
        <f t="shared" si="1"/>
        <v>-60</v>
      </c>
      <c r="I18" s="818">
        <v>180</v>
      </c>
      <c r="J18" s="871">
        <v>1330</v>
      </c>
      <c r="K18" s="872">
        <f t="shared" si="2"/>
        <v>279.3</v>
      </c>
      <c r="L18" s="872">
        <f t="shared" si="3"/>
        <v>1609.3</v>
      </c>
      <c r="M18" s="850">
        <v>1609</v>
      </c>
      <c r="N18" s="853">
        <f t="shared" si="4"/>
        <v>-72</v>
      </c>
    </row>
    <row r="19" spans="2:14" ht="12" customHeight="1" x14ac:dyDescent="0.2">
      <c r="B19" s="818">
        <v>190</v>
      </c>
      <c r="C19" s="815">
        <v>1595</v>
      </c>
      <c r="D19" s="905">
        <f t="shared" si="0"/>
        <v>-135</v>
      </c>
      <c r="E19" s="818">
        <v>190</v>
      </c>
      <c r="F19" s="852">
        <v>1390</v>
      </c>
      <c r="G19" s="853">
        <f t="shared" si="1"/>
        <v>-60</v>
      </c>
      <c r="I19" s="818">
        <v>190</v>
      </c>
      <c r="J19" s="817">
        <v>1390</v>
      </c>
      <c r="K19" s="872">
        <f t="shared" si="2"/>
        <v>291.89999999999998</v>
      </c>
      <c r="L19" s="872">
        <f t="shared" si="3"/>
        <v>1681.9</v>
      </c>
      <c r="M19" s="850">
        <v>1682</v>
      </c>
      <c r="N19" s="853">
        <f t="shared" si="4"/>
        <v>-73</v>
      </c>
    </row>
    <row r="20" spans="2:14" ht="12" customHeight="1" x14ac:dyDescent="0.2">
      <c r="B20" s="818">
        <v>200</v>
      </c>
      <c r="C20" s="850">
        <v>1730</v>
      </c>
      <c r="D20" s="905">
        <f t="shared" si="0"/>
        <v>-135</v>
      </c>
      <c r="E20" s="818">
        <v>200</v>
      </c>
      <c r="F20" s="850">
        <v>1450</v>
      </c>
      <c r="G20" s="853">
        <f t="shared" si="1"/>
        <v>-60</v>
      </c>
      <c r="I20" s="818">
        <v>200</v>
      </c>
      <c r="J20" s="871">
        <v>1450</v>
      </c>
      <c r="K20" s="872">
        <f t="shared" si="2"/>
        <v>304.5</v>
      </c>
      <c r="L20" s="872">
        <f t="shared" si="3"/>
        <v>1754.5</v>
      </c>
      <c r="M20" s="850">
        <v>1755</v>
      </c>
      <c r="N20" s="853">
        <f t="shared" si="4"/>
        <v>-73</v>
      </c>
    </row>
    <row r="21" spans="2:14" ht="12" customHeight="1" x14ac:dyDescent="0.2">
      <c r="B21" s="818">
        <v>210</v>
      </c>
      <c r="C21" s="815">
        <v>1870</v>
      </c>
      <c r="D21" s="905">
        <f t="shared" si="0"/>
        <v>-140</v>
      </c>
      <c r="E21" s="818">
        <v>210</v>
      </c>
      <c r="F21" s="815">
        <v>1505</v>
      </c>
      <c r="G21" s="853">
        <f t="shared" si="1"/>
        <v>-55</v>
      </c>
      <c r="I21" s="818">
        <v>210</v>
      </c>
      <c r="J21" s="817">
        <v>1505</v>
      </c>
      <c r="K21" s="872">
        <f t="shared" si="2"/>
        <v>316.05</v>
      </c>
      <c r="L21" s="872">
        <f t="shared" si="3"/>
        <v>1821.05</v>
      </c>
      <c r="M21" s="850">
        <v>1821</v>
      </c>
      <c r="N21" s="853">
        <f t="shared" si="4"/>
        <v>-66</v>
      </c>
    </row>
    <row r="22" spans="2:14" ht="12" customHeight="1" x14ac:dyDescent="0.2">
      <c r="B22" s="819">
        <v>220</v>
      </c>
      <c r="C22" s="850">
        <v>2025</v>
      </c>
      <c r="D22" s="905">
        <f t="shared" si="0"/>
        <v>-155</v>
      </c>
      <c r="E22" s="819">
        <v>220</v>
      </c>
      <c r="F22" s="850">
        <v>1560</v>
      </c>
      <c r="G22" s="853">
        <f t="shared" si="1"/>
        <v>-55</v>
      </c>
      <c r="I22" s="819">
        <v>220</v>
      </c>
      <c r="J22" s="871">
        <v>1560</v>
      </c>
      <c r="K22" s="872">
        <f t="shared" si="2"/>
        <v>327.60000000000002</v>
      </c>
      <c r="L22" s="872">
        <f t="shared" si="3"/>
        <v>1887.6</v>
      </c>
      <c r="M22" s="850">
        <v>1888</v>
      </c>
      <c r="N22" s="853">
        <f t="shared" si="4"/>
        <v>-67</v>
      </c>
    </row>
    <row r="23" spans="2:14" ht="12" customHeight="1" x14ac:dyDescent="0.2">
      <c r="B23" s="821"/>
      <c r="C23" s="822"/>
      <c r="D23" s="820"/>
      <c r="E23" s="819">
        <v>230</v>
      </c>
      <c r="F23" s="815">
        <v>1620</v>
      </c>
      <c r="G23" s="853">
        <f t="shared" si="1"/>
        <v>-60</v>
      </c>
      <c r="I23" s="819">
        <v>230</v>
      </c>
      <c r="J23" s="817">
        <v>1620</v>
      </c>
      <c r="K23" s="872">
        <f t="shared" si="2"/>
        <v>340.2</v>
      </c>
      <c r="L23" s="872">
        <f t="shared" si="3"/>
        <v>1960.2</v>
      </c>
      <c r="M23" s="850">
        <v>1960</v>
      </c>
      <c r="N23" s="853">
        <f t="shared" si="4"/>
        <v>-72</v>
      </c>
    </row>
    <row r="24" spans="2:14" ht="12" customHeight="1" x14ac:dyDescent="0.2">
      <c r="B24" s="848" t="s">
        <v>504</v>
      </c>
      <c r="C24" s="822"/>
      <c r="E24" s="818">
        <v>240</v>
      </c>
      <c r="F24" s="815">
        <v>1680</v>
      </c>
      <c r="G24" s="853">
        <f t="shared" si="1"/>
        <v>-60</v>
      </c>
      <c r="I24" s="818">
        <v>240</v>
      </c>
      <c r="J24" s="817">
        <v>1680</v>
      </c>
      <c r="K24" s="872">
        <f t="shared" si="2"/>
        <v>352.8</v>
      </c>
      <c r="L24" s="872">
        <f t="shared" si="3"/>
        <v>2032.8</v>
      </c>
      <c r="M24" s="850">
        <v>2033</v>
      </c>
      <c r="N24" s="853">
        <f t="shared" si="4"/>
        <v>-73</v>
      </c>
    </row>
    <row r="25" spans="2:14" ht="12" customHeight="1" x14ac:dyDescent="0.2">
      <c r="B25" s="823"/>
      <c r="C25" s="822"/>
      <c r="E25" s="818">
        <v>250</v>
      </c>
      <c r="F25" s="850">
        <v>1740</v>
      </c>
      <c r="G25" s="853">
        <f t="shared" si="1"/>
        <v>-60</v>
      </c>
      <c r="I25" s="818">
        <v>250</v>
      </c>
      <c r="J25" s="871">
        <v>1740</v>
      </c>
      <c r="K25" s="872">
        <f t="shared" si="2"/>
        <v>365.4</v>
      </c>
      <c r="L25" s="872">
        <f t="shared" si="3"/>
        <v>2105.4</v>
      </c>
      <c r="M25" s="850">
        <v>2105</v>
      </c>
      <c r="N25" s="853">
        <f t="shared" si="4"/>
        <v>-72</v>
      </c>
    </row>
    <row r="26" spans="2:14" ht="12" customHeight="1" x14ac:dyDescent="0.2">
      <c r="B26" s="823"/>
      <c r="C26" s="822"/>
      <c r="E26" s="818">
        <v>260</v>
      </c>
      <c r="F26" s="815">
        <v>1795</v>
      </c>
      <c r="G26" s="853">
        <f t="shared" si="1"/>
        <v>-55</v>
      </c>
      <c r="I26" s="818">
        <v>260</v>
      </c>
      <c r="J26" s="817">
        <v>1795</v>
      </c>
      <c r="K26" s="872">
        <f t="shared" si="2"/>
        <v>376.95</v>
      </c>
      <c r="L26" s="872">
        <f t="shared" si="3"/>
        <v>2171.9499999999998</v>
      </c>
      <c r="M26" s="850">
        <v>2172</v>
      </c>
      <c r="N26" s="853">
        <f t="shared" si="4"/>
        <v>-67</v>
      </c>
    </row>
    <row r="27" spans="2:14" ht="12" customHeight="1" x14ac:dyDescent="0.2">
      <c r="B27" s="823"/>
      <c r="C27" s="822"/>
      <c r="E27" s="818">
        <v>270</v>
      </c>
      <c r="F27" s="815">
        <v>1850</v>
      </c>
      <c r="G27" s="853">
        <f t="shared" si="1"/>
        <v>-55</v>
      </c>
      <c r="I27" s="818">
        <v>270</v>
      </c>
      <c r="J27" s="817">
        <v>1850</v>
      </c>
      <c r="K27" s="872">
        <f t="shared" si="2"/>
        <v>388.5</v>
      </c>
      <c r="L27" s="872">
        <f t="shared" si="3"/>
        <v>2238.5</v>
      </c>
      <c r="M27" s="850">
        <v>2239</v>
      </c>
      <c r="N27" s="853">
        <f t="shared" si="4"/>
        <v>-67</v>
      </c>
    </row>
    <row r="28" spans="2:14" ht="12" customHeight="1" x14ac:dyDescent="0.2">
      <c r="B28" s="823"/>
      <c r="C28" s="822"/>
      <c r="E28" s="818">
        <v>280</v>
      </c>
      <c r="F28" s="850">
        <v>1905</v>
      </c>
      <c r="G28" s="853">
        <f t="shared" si="1"/>
        <v>-55</v>
      </c>
      <c r="I28" s="818">
        <v>280</v>
      </c>
      <c r="J28" s="871">
        <v>1905</v>
      </c>
      <c r="K28" s="872">
        <f t="shared" si="2"/>
        <v>400.05</v>
      </c>
      <c r="L28" s="872">
        <f t="shared" si="3"/>
        <v>2305.0500000000002</v>
      </c>
      <c r="M28" s="850">
        <v>2305</v>
      </c>
      <c r="N28" s="853">
        <f t="shared" si="4"/>
        <v>-66</v>
      </c>
    </row>
    <row r="29" spans="2:14" ht="12" customHeight="1" x14ac:dyDescent="0.2">
      <c r="B29" s="823"/>
      <c r="C29" s="822"/>
      <c r="E29" s="818">
        <v>290</v>
      </c>
      <c r="F29" s="815">
        <v>1960</v>
      </c>
      <c r="G29" s="853">
        <f t="shared" si="1"/>
        <v>-55</v>
      </c>
      <c r="I29" s="818">
        <v>290</v>
      </c>
      <c r="J29" s="817">
        <v>1960</v>
      </c>
      <c r="K29" s="872">
        <f t="shared" si="2"/>
        <v>411.6</v>
      </c>
      <c r="L29" s="872">
        <f t="shared" si="3"/>
        <v>2371.6</v>
      </c>
      <c r="M29" s="850">
        <v>2372</v>
      </c>
      <c r="N29" s="853">
        <f t="shared" si="4"/>
        <v>-67</v>
      </c>
    </row>
    <row r="30" spans="2:14" ht="12" customHeight="1" x14ac:dyDescent="0.2">
      <c r="B30" s="823"/>
      <c r="C30" s="822"/>
      <c r="E30" s="818">
        <v>300</v>
      </c>
      <c r="F30" s="815">
        <v>2010</v>
      </c>
      <c r="G30" s="853">
        <f t="shared" si="1"/>
        <v>-50</v>
      </c>
      <c r="I30" s="818">
        <v>300</v>
      </c>
      <c r="J30" s="817">
        <v>2010</v>
      </c>
      <c r="K30" s="872">
        <f t="shared" si="2"/>
        <v>422.1</v>
      </c>
      <c r="L30" s="872">
        <f t="shared" si="3"/>
        <v>2432.1</v>
      </c>
      <c r="M30" s="850">
        <v>2432</v>
      </c>
      <c r="N30" s="853">
        <f t="shared" si="4"/>
        <v>-60</v>
      </c>
    </row>
    <row r="31" spans="2:14" ht="12" customHeight="1" x14ac:dyDescent="0.2">
      <c r="B31" s="823"/>
      <c r="C31" s="822"/>
      <c r="E31" s="818">
        <v>310</v>
      </c>
      <c r="F31" s="850">
        <v>2060</v>
      </c>
      <c r="G31" s="853">
        <f t="shared" si="1"/>
        <v>-50</v>
      </c>
      <c r="I31" s="818">
        <v>310</v>
      </c>
      <c r="J31" s="871">
        <v>2060</v>
      </c>
      <c r="K31" s="872">
        <f t="shared" si="2"/>
        <v>432.6</v>
      </c>
      <c r="L31" s="872">
        <f t="shared" si="3"/>
        <v>2492.6</v>
      </c>
      <c r="M31" s="850">
        <v>2493</v>
      </c>
      <c r="N31" s="853">
        <f t="shared" si="4"/>
        <v>-61</v>
      </c>
    </row>
    <row r="32" spans="2:14" ht="12" customHeight="1" x14ac:dyDescent="0.2">
      <c r="B32" s="823"/>
      <c r="C32" s="822"/>
      <c r="E32" s="818">
        <v>320</v>
      </c>
      <c r="F32" s="815">
        <v>2110</v>
      </c>
      <c r="G32" s="853">
        <f t="shared" si="1"/>
        <v>-50</v>
      </c>
      <c r="I32" s="818">
        <v>320</v>
      </c>
      <c r="J32" s="817">
        <v>2110</v>
      </c>
      <c r="K32" s="872">
        <f t="shared" si="2"/>
        <v>443.1</v>
      </c>
      <c r="L32" s="872">
        <f t="shared" si="3"/>
        <v>2553.1</v>
      </c>
      <c r="M32" s="850">
        <v>2553</v>
      </c>
      <c r="N32" s="853">
        <f t="shared" si="4"/>
        <v>-60</v>
      </c>
    </row>
    <row r="33" spans="2:14" ht="12" customHeight="1" x14ac:dyDescent="0.2">
      <c r="B33" s="823"/>
      <c r="C33" s="822"/>
      <c r="E33" s="818">
        <v>330</v>
      </c>
      <c r="F33" s="815">
        <v>2160</v>
      </c>
      <c r="G33" s="853">
        <f t="shared" si="1"/>
        <v>-50</v>
      </c>
      <c r="I33" s="818">
        <v>330</v>
      </c>
      <c r="J33" s="817">
        <v>2160</v>
      </c>
      <c r="K33" s="872">
        <f t="shared" si="2"/>
        <v>453.6</v>
      </c>
      <c r="L33" s="872">
        <f t="shared" si="3"/>
        <v>2613.6</v>
      </c>
      <c r="M33" s="850">
        <v>2614</v>
      </c>
      <c r="N33" s="853">
        <f t="shared" si="4"/>
        <v>-61</v>
      </c>
    </row>
    <row r="34" spans="2:14" ht="12" customHeight="1" x14ac:dyDescent="0.2">
      <c r="B34" s="823"/>
      <c r="C34" s="822"/>
      <c r="E34" s="818">
        <v>340</v>
      </c>
      <c r="F34" s="850">
        <v>2210</v>
      </c>
      <c r="G34" s="853">
        <f t="shared" si="1"/>
        <v>-50</v>
      </c>
      <c r="I34" s="818">
        <v>340</v>
      </c>
      <c r="J34" s="871">
        <v>2210</v>
      </c>
      <c r="K34" s="872">
        <f t="shared" si="2"/>
        <v>464.1</v>
      </c>
      <c r="L34" s="872">
        <f t="shared" si="3"/>
        <v>2674.1</v>
      </c>
      <c r="M34" s="850">
        <v>2674</v>
      </c>
      <c r="N34" s="853">
        <f t="shared" si="4"/>
        <v>-60</v>
      </c>
    </row>
    <row r="35" spans="2:14" ht="12" customHeight="1" x14ac:dyDescent="0.2">
      <c r="B35" s="823"/>
      <c r="C35" s="822"/>
      <c r="E35" s="818">
        <v>350</v>
      </c>
      <c r="F35" s="815">
        <v>2260</v>
      </c>
      <c r="G35" s="853">
        <f t="shared" si="1"/>
        <v>-50</v>
      </c>
      <c r="I35" s="818">
        <v>350</v>
      </c>
      <c r="J35" s="817">
        <v>2260</v>
      </c>
      <c r="K35" s="872">
        <f t="shared" si="2"/>
        <v>474.6</v>
      </c>
      <c r="L35" s="872">
        <f t="shared" si="3"/>
        <v>2734.6</v>
      </c>
      <c r="M35" s="850">
        <v>2735</v>
      </c>
      <c r="N35" s="853">
        <f t="shared" si="4"/>
        <v>-61</v>
      </c>
    </row>
    <row r="36" spans="2:14" ht="12" customHeight="1" x14ac:dyDescent="0.2">
      <c r="B36" s="823"/>
      <c r="C36" s="822"/>
      <c r="E36" s="818">
        <v>360</v>
      </c>
      <c r="F36" s="815">
        <v>2305</v>
      </c>
      <c r="G36" s="853">
        <f t="shared" si="1"/>
        <v>-45</v>
      </c>
      <c r="I36" s="818">
        <v>360</v>
      </c>
      <c r="J36" s="817">
        <v>2305</v>
      </c>
      <c r="K36" s="872">
        <f t="shared" si="2"/>
        <v>484.05</v>
      </c>
      <c r="L36" s="872">
        <f t="shared" si="3"/>
        <v>2789.05</v>
      </c>
      <c r="M36" s="850">
        <v>2789</v>
      </c>
      <c r="N36" s="853">
        <f t="shared" si="4"/>
        <v>-54</v>
      </c>
    </row>
    <row r="37" spans="2:14" ht="12" customHeight="1" x14ac:dyDescent="0.2">
      <c r="B37" s="823"/>
      <c r="C37" s="822"/>
      <c r="E37" s="818">
        <v>370</v>
      </c>
      <c r="F37" s="850">
        <v>2350</v>
      </c>
      <c r="G37" s="853">
        <f t="shared" si="1"/>
        <v>-45</v>
      </c>
      <c r="I37" s="818">
        <v>370</v>
      </c>
      <c r="J37" s="871">
        <v>2350</v>
      </c>
      <c r="K37" s="872">
        <f t="shared" si="2"/>
        <v>493.5</v>
      </c>
      <c r="L37" s="872">
        <f t="shared" si="3"/>
        <v>2843.5</v>
      </c>
      <c r="M37" s="850">
        <v>2844</v>
      </c>
      <c r="N37" s="853">
        <f t="shared" si="4"/>
        <v>-55</v>
      </c>
    </row>
    <row r="38" spans="2:14" ht="12" customHeight="1" x14ac:dyDescent="0.2">
      <c r="B38" s="823"/>
      <c r="C38" s="822"/>
      <c r="E38" s="818">
        <v>380</v>
      </c>
      <c r="F38" s="815">
        <v>2395</v>
      </c>
      <c r="G38" s="853">
        <f t="shared" si="1"/>
        <v>-45</v>
      </c>
      <c r="I38" s="818">
        <v>380</v>
      </c>
      <c r="J38" s="817">
        <v>2395</v>
      </c>
      <c r="K38" s="872">
        <f t="shared" si="2"/>
        <v>502.95</v>
      </c>
      <c r="L38" s="872">
        <f t="shared" si="3"/>
        <v>2897.95</v>
      </c>
      <c r="M38" s="850">
        <v>2898</v>
      </c>
      <c r="N38" s="853">
        <f t="shared" si="4"/>
        <v>-54</v>
      </c>
    </row>
    <row r="39" spans="2:14" ht="12" customHeight="1" x14ac:dyDescent="0.2">
      <c r="B39" s="823"/>
      <c r="C39" s="822"/>
      <c r="E39" s="818">
        <v>390</v>
      </c>
      <c r="F39" s="815">
        <v>2440</v>
      </c>
      <c r="G39" s="853">
        <f t="shared" si="1"/>
        <v>-45</v>
      </c>
      <c r="I39" s="818">
        <v>390</v>
      </c>
      <c r="J39" s="817">
        <v>2440</v>
      </c>
      <c r="K39" s="872">
        <f t="shared" si="2"/>
        <v>512.4</v>
      </c>
      <c r="L39" s="872">
        <f t="shared" si="3"/>
        <v>2952.4</v>
      </c>
      <c r="M39" s="850">
        <v>2952</v>
      </c>
      <c r="N39" s="853">
        <f t="shared" si="4"/>
        <v>-54</v>
      </c>
    </row>
    <row r="40" spans="2:14" ht="12" customHeight="1" x14ac:dyDescent="0.2">
      <c r="B40" s="823"/>
      <c r="C40" s="822"/>
      <c r="E40" s="818">
        <v>400</v>
      </c>
      <c r="F40" s="850">
        <v>2480</v>
      </c>
      <c r="G40" s="853">
        <f t="shared" si="1"/>
        <v>-40</v>
      </c>
      <c r="I40" s="818">
        <v>400</v>
      </c>
      <c r="J40" s="871">
        <v>2480</v>
      </c>
      <c r="K40" s="872">
        <f t="shared" si="2"/>
        <v>520.79999999999995</v>
      </c>
      <c r="L40" s="872">
        <f t="shared" si="3"/>
        <v>3000.8</v>
      </c>
      <c r="M40" s="850">
        <v>3001</v>
      </c>
      <c r="N40" s="853">
        <f t="shared" si="4"/>
        <v>-49</v>
      </c>
    </row>
    <row r="41" spans="2:14" ht="12" customHeight="1" x14ac:dyDescent="0.2">
      <c r="B41" s="823"/>
      <c r="C41" s="822"/>
      <c r="E41" s="818">
        <v>410</v>
      </c>
      <c r="F41" s="815">
        <v>2520</v>
      </c>
      <c r="G41" s="853">
        <f t="shared" si="1"/>
        <v>-40</v>
      </c>
      <c r="I41" s="818">
        <v>410</v>
      </c>
      <c r="J41" s="817">
        <v>2520</v>
      </c>
      <c r="K41" s="872">
        <f t="shared" si="2"/>
        <v>529.20000000000005</v>
      </c>
      <c r="L41" s="872">
        <f t="shared" si="3"/>
        <v>3049.2</v>
      </c>
      <c r="M41" s="850">
        <v>3049</v>
      </c>
      <c r="N41" s="853">
        <f t="shared" si="4"/>
        <v>-48</v>
      </c>
    </row>
    <row r="42" spans="2:14" ht="12" customHeight="1" x14ac:dyDescent="0.2">
      <c r="B42" s="823"/>
      <c r="C42" s="822"/>
      <c r="E42" s="818">
        <v>420</v>
      </c>
      <c r="F42" s="815">
        <v>2560</v>
      </c>
      <c r="G42" s="853">
        <f t="shared" si="1"/>
        <v>-40</v>
      </c>
      <c r="I42" s="818">
        <v>420</v>
      </c>
      <c r="J42" s="817">
        <v>2560</v>
      </c>
      <c r="K42" s="872">
        <f t="shared" si="2"/>
        <v>537.6</v>
      </c>
      <c r="L42" s="872">
        <f t="shared" si="3"/>
        <v>3097.6</v>
      </c>
      <c r="M42" s="850">
        <v>3098</v>
      </c>
      <c r="N42" s="853">
        <f t="shared" si="4"/>
        <v>-49</v>
      </c>
    </row>
    <row r="43" spans="2:14" ht="12" customHeight="1" x14ac:dyDescent="0.2">
      <c r="B43" s="823"/>
      <c r="C43" s="822"/>
      <c r="E43" s="818">
        <v>430</v>
      </c>
      <c r="F43" s="850">
        <v>2600</v>
      </c>
      <c r="G43" s="853">
        <f t="shared" si="1"/>
        <v>-40</v>
      </c>
      <c r="I43" s="818">
        <v>430</v>
      </c>
      <c r="J43" s="871">
        <v>2600</v>
      </c>
      <c r="K43" s="872">
        <f t="shared" si="2"/>
        <v>546</v>
      </c>
      <c r="L43" s="872">
        <f t="shared" si="3"/>
        <v>3146</v>
      </c>
      <c r="M43" s="850">
        <v>3146</v>
      </c>
      <c r="N43" s="853">
        <f t="shared" si="4"/>
        <v>-48</v>
      </c>
    </row>
    <row r="44" spans="2:14" ht="12" customHeight="1" x14ac:dyDescent="0.2">
      <c r="B44" s="823"/>
      <c r="C44" s="822"/>
      <c r="E44" s="818">
        <v>440</v>
      </c>
      <c r="F44" s="815">
        <v>2640</v>
      </c>
      <c r="G44" s="853">
        <f t="shared" si="1"/>
        <v>-40</v>
      </c>
      <c r="I44" s="818">
        <v>440</v>
      </c>
      <c r="J44" s="817">
        <v>2640</v>
      </c>
      <c r="K44" s="872">
        <f t="shared" si="2"/>
        <v>554.4</v>
      </c>
      <c r="L44" s="872">
        <f t="shared" si="3"/>
        <v>3194.4</v>
      </c>
      <c r="M44" s="850">
        <v>3194</v>
      </c>
      <c r="N44" s="853">
        <f t="shared" si="4"/>
        <v>-48</v>
      </c>
    </row>
    <row r="45" spans="2:14" ht="12" customHeight="1" x14ac:dyDescent="0.2">
      <c r="B45" s="823"/>
      <c r="C45" s="822"/>
      <c r="E45" s="818">
        <v>450</v>
      </c>
      <c r="F45" s="815">
        <v>2680</v>
      </c>
      <c r="G45" s="853">
        <f t="shared" si="1"/>
        <v>-40</v>
      </c>
      <c r="I45" s="818">
        <v>450</v>
      </c>
      <c r="J45" s="817">
        <v>2680</v>
      </c>
      <c r="K45" s="872">
        <f t="shared" si="2"/>
        <v>562.79999999999995</v>
      </c>
      <c r="L45" s="872">
        <f t="shared" si="3"/>
        <v>3242.8</v>
      </c>
      <c r="M45" s="850">
        <v>3243</v>
      </c>
      <c r="N45" s="853">
        <f t="shared" si="4"/>
        <v>-49</v>
      </c>
    </row>
    <row r="46" spans="2:14" ht="12" customHeight="1" x14ac:dyDescent="0.2">
      <c r="B46" s="823"/>
      <c r="C46" s="822"/>
      <c r="E46" s="818">
        <v>460</v>
      </c>
      <c r="F46" s="850">
        <v>2715</v>
      </c>
      <c r="G46" s="853">
        <f t="shared" si="1"/>
        <v>-35</v>
      </c>
      <c r="I46" s="818">
        <v>460</v>
      </c>
      <c r="J46" s="871">
        <v>2715</v>
      </c>
      <c r="K46" s="872">
        <f t="shared" si="2"/>
        <v>570.15</v>
      </c>
      <c r="L46" s="872">
        <f t="shared" si="3"/>
        <v>3285.15</v>
      </c>
      <c r="M46" s="850">
        <v>3285</v>
      </c>
      <c r="N46" s="853">
        <f t="shared" si="4"/>
        <v>-42</v>
      </c>
    </row>
    <row r="47" spans="2:14" ht="12" customHeight="1" x14ac:dyDescent="0.2">
      <c r="B47" s="823"/>
      <c r="C47" s="822"/>
      <c r="E47" s="818">
        <v>470</v>
      </c>
      <c r="F47" s="815">
        <v>2750</v>
      </c>
      <c r="G47" s="853">
        <f t="shared" si="1"/>
        <v>-35</v>
      </c>
      <c r="I47" s="818">
        <v>470</v>
      </c>
      <c r="J47" s="817">
        <v>2750</v>
      </c>
      <c r="K47" s="872">
        <f t="shared" si="2"/>
        <v>577.5</v>
      </c>
      <c r="L47" s="872">
        <f t="shared" si="3"/>
        <v>3327.5</v>
      </c>
      <c r="M47" s="850">
        <v>3328</v>
      </c>
      <c r="N47" s="853">
        <f t="shared" si="4"/>
        <v>-43</v>
      </c>
    </row>
    <row r="48" spans="2:14" ht="12" customHeight="1" x14ac:dyDescent="0.2">
      <c r="B48" s="823"/>
      <c r="C48" s="822"/>
      <c r="E48" s="818">
        <v>480</v>
      </c>
      <c r="F48" s="815">
        <v>2785</v>
      </c>
      <c r="G48" s="853">
        <f t="shared" si="1"/>
        <v>-35</v>
      </c>
      <c r="I48" s="818">
        <v>480</v>
      </c>
      <c r="J48" s="817">
        <v>2785</v>
      </c>
      <c r="K48" s="872">
        <f t="shared" si="2"/>
        <v>584.85</v>
      </c>
      <c r="L48" s="872">
        <f t="shared" si="3"/>
        <v>3369.85</v>
      </c>
      <c r="M48" s="850">
        <v>3370</v>
      </c>
      <c r="N48" s="853">
        <f t="shared" si="4"/>
        <v>-42</v>
      </c>
    </row>
    <row r="49" spans="2:14" ht="12" customHeight="1" x14ac:dyDescent="0.2">
      <c r="B49" s="823"/>
      <c r="C49" s="822"/>
      <c r="E49" s="818">
        <v>490</v>
      </c>
      <c r="F49" s="850">
        <v>2820</v>
      </c>
      <c r="G49" s="853">
        <f t="shared" si="1"/>
        <v>-35</v>
      </c>
      <c r="I49" s="818">
        <v>490</v>
      </c>
      <c r="J49" s="871">
        <v>2820</v>
      </c>
      <c r="K49" s="872">
        <f t="shared" si="2"/>
        <v>592.20000000000005</v>
      </c>
      <c r="L49" s="872">
        <f t="shared" si="3"/>
        <v>3412.2</v>
      </c>
      <c r="M49" s="850">
        <v>3412</v>
      </c>
      <c r="N49" s="853">
        <f t="shared" si="4"/>
        <v>-42</v>
      </c>
    </row>
    <row r="50" spans="2:14" ht="12" customHeight="1" x14ac:dyDescent="0.2">
      <c r="B50" s="823"/>
      <c r="C50" s="822"/>
      <c r="E50" s="818">
        <v>500</v>
      </c>
      <c r="F50" s="815">
        <v>2850</v>
      </c>
      <c r="G50" s="853">
        <f t="shared" si="1"/>
        <v>-30</v>
      </c>
      <c r="I50" s="818">
        <v>500</v>
      </c>
      <c r="J50" s="817">
        <v>2850</v>
      </c>
      <c r="K50" s="872">
        <f t="shared" si="2"/>
        <v>598.5</v>
      </c>
      <c r="L50" s="872">
        <f t="shared" si="3"/>
        <v>3448.5</v>
      </c>
      <c r="M50" s="850">
        <v>3449</v>
      </c>
      <c r="N50" s="853">
        <f t="shared" si="4"/>
        <v>-37</v>
      </c>
    </row>
    <row r="51" spans="2:14" ht="12" customHeight="1" x14ac:dyDescent="0.2">
      <c r="B51" s="823"/>
      <c r="C51" s="822"/>
      <c r="E51" s="818">
        <v>510</v>
      </c>
      <c r="F51" s="815">
        <v>2880</v>
      </c>
      <c r="G51" s="853">
        <f t="shared" si="1"/>
        <v>-30</v>
      </c>
      <c r="I51" s="823"/>
      <c r="J51" s="822"/>
      <c r="K51" s="822"/>
      <c r="N51" s="853"/>
    </row>
    <row r="52" spans="2:14" ht="12" customHeight="1" x14ac:dyDescent="0.2">
      <c r="B52" s="823"/>
      <c r="C52" s="822"/>
      <c r="E52" s="818">
        <v>520</v>
      </c>
      <c r="F52" s="850">
        <v>2910</v>
      </c>
      <c r="G52" s="853">
        <f t="shared" si="1"/>
        <v>-30</v>
      </c>
      <c r="I52" s="848" t="s">
        <v>504</v>
      </c>
      <c r="J52" s="822"/>
      <c r="K52" s="822"/>
      <c r="N52" s="853"/>
    </row>
    <row r="53" spans="2:14" ht="12" customHeight="1" x14ac:dyDescent="0.2">
      <c r="B53" s="823"/>
      <c r="C53" s="822"/>
      <c r="E53" s="818">
        <v>530</v>
      </c>
      <c r="F53" s="815">
        <v>2940</v>
      </c>
      <c r="G53" s="853">
        <f t="shared" si="1"/>
        <v>-30</v>
      </c>
      <c r="I53" s="848" t="s">
        <v>522</v>
      </c>
      <c r="J53" s="822"/>
      <c r="K53" s="822"/>
      <c r="N53" s="853"/>
    </row>
    <row r="54" spans="2:14" ht="12" customHeight="1" x14ac:dyDescent="0.2">
      <c r="B54" s="823"/>
      <c r="C54" s="822"/>
      <c r="E54" s="818">
        <v>540</v>
      </c>
      <c r="F54" s="815">
        <v>2970</v>
      </c>
      <c r="G54" s="853">
        <f t="shared" si="1"/>
        <v>-30</v>
      </c>
      <c r="I54" s="823"/>
      <c r="J54" s="822"/>
      <c r="K54" s="822"/>
      <c r="N54" s="853"/>
    </row>
    <row r="55" spans="2:14" ht="12" customHeight="1" x14ac:dyDescent="0.2">
      <c r="B55" s="823"/>
      <c r="C55" s="822"/>
      <c r="E55" s="818">
        <v>550</v>
      </c>
      <c r="F55" s="850">
        <v>3000</v>
      </c>
      <c r="G55" s="853">
        <f t="shared" si="1"/>
        <v>-30</v>
      </c>
      <c r="I55" s="823"/>
      <c r="J55" s="822"/>
      <c r="K55" s="822"/>
      <c r="N55" s="853"/>
    </row>
    <row r="56" spans="2:14" ht="12" customHeight="1" x14ac:dyDescent="0.2">
      <c r="B56" s="823"/>
      <c r="C56" s="822"/>
      <c r="E56" s="818">
        <v>560</v>
      </c>
      <c r="F56" s="815">
        <v>3030</v>
      </c>
      <c r="G56" s="853">
        <f t="shared" si="1"/>
        <v>-30</v>
      </c>
      <c r="H56" s="824"/>
      <c r="I56" s="823"/>
      <c r="J56" s="822"/>
      <c r="K56" s="822"/>
      <c r="N56" s="853"/>
    </row>
    <row r="57" spans="2:14" ht="12" customHeight="1" x14ac:dyDescent="0.2">
      <c r="B57" s="823"/>
      <c r="C57" s="822"/>
      <c r="E57" s="818">
        <v>570</v>
      </c>
      <c r="F57" s="815">
        <v>3060</v>
      </c>
      <c r="G57" s="853">
        <f t="shared" si="1"/>
        <v>-30</v>
      </c>
      <c r="I57" s="823"/>
      <c r="J57" s="822"/>
      <c r="K57" s="822"/>
      <c r="N57" s="853"/>
    </row>
    <row r="58" spans="2:14" ht="12" customHeight="1" x14ac:dyDescent="0.2">
      <c r="B58" s="823"/>
      <c r="C58" s="822"/>
      <c r="E58" s="818">
        <v>580</v>
      </c>
      <c r="F58" s="815">
        <v>3090</v>
      </c>
      <c r="G58" s="853">
        <f t="shared" si="1"/>
        <v>-30</v>
      </c>
      <c r="I58" s="823"/>
      <c r="J58" s="822"/>
      <c r="K58" s="822"/>
      <c r="N58" s="853"/>
    </row>
    <row r="59" spans="2:14" ht="12" customHeight="1" x14ac:dyDescent="0.2">
      <c r="B59" s="823"/>
      <c r="C59" s="822"/>
      <c r="E59" s="818">
        <v>590</v>
      </c>
      <c r="F59" s="815">
        <v>3120</v>
      </c>
      <c r="G59" s="853">
        <f t="shared" si="1"/>
        <v>-30</v>
      </c>
      <c r="I59" s="823"/>
      <c r="J59" s="822"/>
      <c r="K59" s="822"/>
      <c r="N59" s="853"/>
    </row>
    <row r="60" spans="2:14" ht="12" customHeight="1" x14ac:dyDescent="0.2">
      <c r="B60" s="823"/>
      <c r="C60" s="822"/>
      <c r="E60" s="818">
        <v>600</v>
      </c>
      <c r="F60" s="815">
        <v>3150</v>
      </c>
      <c r="G60" s="853">
        <f t="shared" si="1"/>
        <v>-30</v>
      </c>
      <c r="I60" s="823"/>
      <c r="J60" s="822"/>
      <c r="K60" s="822"/>
      <c r="N60" s="853"/>
    </row>
    <row r="61" spans="2:14" ht="12" customHeight="1" x14ac:dyDescent="0.2">
      <c r="B61" s="823"/>
      <c r="C61" s="822"/>
      <c r="E61" s="825"/>
      <c r="F61" s="826"/>
      <c r="G61" s="826"/>
      <c r="I61" s="823"/>
      <c r="J61" s="822"/>
      <c r="K61" s="822"/>
      <c r="N61" s="826"/>
    </row>
    <row r="62" spans="2:14" s="32" customFormat="1" ht="12" customHeight="1" x14ac:dyDescent="0.2">
      <c r="F62" s="855"/>
    </row>
  </sheetData>
  <sheetProtection sheet="1"/>
  <customSheetViews>
    <customSheetView guid="{B919D2EB-D122-4E25-8E52-25BE88B69D9E}" scale="50" showGridLines="0" fitToPage="1" state="hidden">
      <selection activeCell="H76" sqref="H76"/>
      <pageMargins left="0.78740157480314965" right="0.19685039370078741" top="0.11811023622047245" bottom="0" header="0.51181102362204722" footer="0.51181102362204722"/>
      <pageSetup paperSize="9" scale="79" orientation="portrait" r:id="rId1"/>
      <headerFooter alignWithMargins="0"/>
      <extLst>
        <ext xmlns:xlsdti="http://schemas.microsoft.com/office/spreadsheetml/2023/showDataTypeIcons" uri="{a3c15fd4-4149-4032-8f15-062bd4999b60}">
          <xlsdti:showDataTypeIconsCustomSheetView visible="0"/>
        </ext>
      </extLst>
    </customSheetView>
  </customSheetViews>
  <phoneticPr fontId="16" type="noConversion"/>
  <pageMargins left="0.78740157480314965" right="0.19685039370078741" top="0.11811023622047245" bottom="0" header="0.51181102362204722" footer="0.51181102362204722"/>
  <pageSetup paperSize="9"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85768-8850-41FE-8F05-5740D92E6D87}">
  <sheetPr codeName="Tabelle18">
    <tabColor indexed="8"/>
    <pageSetUpPr fitToPage="1"/>
  </sheetPr>
  <dimension ref="A1:E87"/>
  <sheetViews>
    <sheetView showGridLines="0" zoomScaleNormal="100" workbookViewId="0">
      <selection activeCell="C2" sqref="C2"/>
    </sheetView>
  </sheetViews>
  <sheetFormatPr baseColWidth="10" defaultRowHeight="14.25" x14ac:dyDescent="0.2"/>
  <cols>
    <col min="1" max="1" width="20.140625" style="103" customWidth="1"/>
    <col min="2" max="2" width="28.85546875" style="103" customWidth="1"/>
    <col min="3" max="3" width="17.28515625" style="103" bestFit="1" customWidth="1"/>
    <col min="4" max="4" width="11.42578125" style="104"/>
    <col min="5" max="5" width="11.42578125" style="854"/>
    <col min="6" max="16384" width="11.42578125" style="104"/>
  </cols>
  <sheetData>
    <row r="1" spans="1:5" x14ac:dyDescent="0.2">
      <c r="A1" s="105" t="s">
        <v>318</v>
      </c>
      <c r="B1" s="105" t="s">
        <v>319</v>
      </c>
      <c r="C1" s="105" t="s">
        <v>320</v>
      </c>
    </row>
    <row r="2" spans="1:5" x14ac:dyDescent="0.2">
      <c r="A2" s="458">
        <v>39448</v>
      </c>
      <c r="B2" s="455">
        <f>DATEVALUE("01.01.2008")</f>
        <v>39448</v>
      </c>
      <c r="C2" s="455">
        <v>3000</v>
      </c>
    </row>
    <row r="3" spans="1:5" x14ac:dyDescent="0.2">
      <c r="A3" s="458">
        <v>39814</v>
      </c>
      <c r="B3" s="455">
        <f>DATEVALUE("01.01.2009")</f>
        <v>39814</v>
      </c>
      <c r="C3" s="455">
        <v>3000</v>
      </c>
    </row>
    <row r="4" spans="1:5" x14ac:dyDescent="0.2">
      <c r="A4" s="458">
        <v>40179</v>
      </c>
      <c r="B4" s="455">
        <f>DATEVALUE("01.01.2010")</f>
        <v>40179</v>
      </c>
      <c r="C4" s="455">
        <v>3000</v>
      </c>
    </row>
    <row r="5" spans="1:5" x14ac:dyDescent="0.2">
      <c r="A5" s="458">
        <v>40544</v>
      </c>
      <c r="B5" s="455">
        <f>DATEVALUE("01.01.2011")</f>
        <v>40544</v>
      </c>
      <c r="C5" s="455">
        <v>3000</v>
      </c>
    </row>
    <row r="6" spans="1:5" x14ac:dyDescent="0.2">
      <c r="A6" s="458">
        <v>40909</v>
      </c>
      <c r="B6" s="455">
        <f>DATEVALUE("01.01.2012")</f>
        <v>40909</v>
      </c>
      <c r="C6" s="455">
        <v>3000</v>
      </c>
    </row>
    <row r="7" spans="1:5" x14ac:dyDescent="0.2">
      <c r="A7" s="458">
        <v>41275</v>
      </c>
      <c r="B7" s="455">
        <f>DATEVALUE("01.01.2013")</f>
        <v>41275</v>
      </c>
      <c r="C7" s="455">
        <v>3000</v>
      </c>
    </row>
    <row r="8" spans="1:5" x14ac:dyDescent="0.2">
      <c r="A8" s="458">
        <v>41640</v>
      </c>
      <c r="B8" s="455">
        <f>DATEVALUE("01.01.2014")</f>
        <v>41640</v>
      </c>
      <c r="C8" s="455">
        <v>3000</v>
      </c>
    </row>
    <row r="9" spans="1:5" x14ac:dyDescent="0.2">
      <c r="A9" s="782">
        <v>42005</v>
      </c>
      <c r="B9" s="455">
        <f>DATEVALUE("1.1.2015")</f>
        <v>42005</v>
      </c>
      <c r="C9" s="455">
        <v>3000</v>
      </c>
    </row>
    <row r="10" spans="1:5" x14ac:dyDescent="0.2">
      <c r="A10" s="782">
        <v>42370</v>
      </c>
      <c r="B10" s="455">
        <f>DATEVALUE("1.1.2016")</f>
        <v>42370</v>
      </c>
      <c r="C10" s="455">
        <v>3000</v>
      </c>
    </row>
    <row r="11" spans="1:5" x14ac:dyDescent="0.2">
      <c r="A11" s="782">
        <v>42736</v>
      </c>
      <c r="B11" s="455">
        <f>DATEVALUE("1.1.17")</f>
        <v>42736</v>
      </c>
      <c r="C11" s="455">
        <v>3000</v>
      </c>
    </row>
    <row r="12" spans="1:5" x14ac:dyDescent="0.2">
      <c r="A12" s="782">
        <v>43101</v>
      </c>
      <c r="B12" s="455">
        <f>DATEVALUE("1.1.18")</f>
        <v>43101</v>
      </c>
      <c r="C12" s="455">
        <v>3000</v>
      </c>
    </row>
    <row r="13" spans="1:5" x14ac:dyDescent="0.2">
      <c r="A13" s="782">
        <v>43466</v>
      </c>
      <c r="B13" s="866">
        <f>DATEVALUE("1.1.19")</f>
        <v>43466</v>
      </c>
      <c r="C13" s="455">
        <v>3000</v>
      </c>
    </row>
    <row r="14" spans="1:5" x14ac:dyDescent="0.2">
      <c r="A14" s="782">
        <v>43831</v>
      </c>
      <c r="B14" s="455">
        <f>DATEVALUE("1.1.20")</f>
        <v>43831</v>
      </c>
      <c r="C14" s="455">
        <v>3000</v>
      </c>
    </row>
    <row r="15" spans="1:5" x14ac:dyDescent="0.2">
      <c r="A15" s="782">
        <v>44197</v>
      </c>
      <c r="B15" s="455">
        <f>DATEVALUE("1.1.21")</f>
        <v>44197</v>
      </c>
      <c r="C15" s="455">
        <v>3000</v>
      </c>
    </row>
    <row r="16" spans="1:5" x14ac:dyDescent="0.2">
      <c r="A16" s="160">
        <v>44927</v>
      </c>
      <c r="B16" s="103">
        <f>DATEVALUE("1.1.23")</f>
        <v>44927</v>
      </c>
      <c r="C16" s="103">
        <v>3000</v>
      </c>
      <c r="E16" s="854">
        <f>C15-C16</f>
        <v>0</v>
      </c>
    </row>
    <row r="17" spans="1:5" x14ac:dyDescent="0.2">
      <c r="A17" s="160">
        <v>44941</v>
      </c>
      <c r="B17" s="103">
        <f>DATEVALUE("15.1.23")</f>
        <v>44941</v>
      </c>
      <c r="C17" s="103">
        <v>3000</v>
      </c>
      <c r="E17" s="854">
        <f t="shared" ref="E17:E39" si="0">C16-C17</f>
        <v>0</v>
      </c>
    </row>
    <row r="18" spans="1:5" x14ac:dyDescent="0.2">
      <c r="A18" s="160">
        <v>44958</v>
      </c>
      <c r="B18" s="103">
        <f>DATEVALUE("1.2.23")</f>
        <v>44958</v>
      </c>
      <c r="C18" s="103">
        <v>3000</v>
      </c>
      <c r="E18" s="854">
        <f t="shared" si="0"/>
        <v>0</v>
      </c>
    </row>
    <row r="19" spans="1:5" x14ac:dyDescent="0.2">
      <c r="A19" s="160">
        <v>44972</v>
      </c>
      <c r="B19" s="103">
        <f>DATEVALUE("15.2.23")</f>
        <v>44972</v>
      </c>
      <c r="C19" s="103">
        <v>3000</v>
      </c>
      <c r="E19" s="854">
        <f t="shared" si="0"/>
        <v>0</v>
      </c>
    </row>
    <row r="20" spans="1:5" x14ac:dyDescent="0.2">
      <c r="A20" s="160">
        <v>44986</v>
      </c>
      <c r="B20" s="103">
        <f>DATEVALUE("1.3.23")</f>
        <v>44986</v>
      </c>
      <c r="C20" s="103">
        <v>3000</v>
      </c>
      <c r="E20" s="854">
        <f t="shared" si="0"/>
        <v>0</v>
      </c>
    </row>
    <row r="21" spans="1:5" x14ac:dyDescent="0.2">
      <c r="A21" s="160">
        <v>45000</v>
      </c>
      <c r="B21" s="103">
        <f>DATEVALUE("15.3.23")</f>
        <v>45000</v>
      </c>
      <c r="C21" s="103">
        <v>3000</v>
      </c>
      <c r="E21" s="854">
        <f t="shared" si="0"/>
        <v>0</v>
      </c>
    </row>
    <row r="22" spans="1:5" x14ac:dyDescent="0.2">
      <c r="A22" s="160">
        <v>45017</v>
      </c>
      <c r="B22" s="103">
        <f>DATEVALUE("1.4.23")</f>
        <v>45017</v>
      </c>
      <c r="C22" s="103">
        <v>3000</v>
      </c>
      <c r="E22" s="854">
        <f t="shared" si="0"/>
        <v>0</v>
      </c>
    </row>
    <row r="23" spans="1:5" x14ac:dyDescent="0.2">
      <c r="A23" s="160">
        <v>45031</v>
      </c>
      <c r="B23" s="103">
        <f>DATEVALUE("15.4.23")</f>
        <v>45031</v>
      </c>
      <c r="C23" s="103">
        <v>3000</v>
      </c>
      <c r="E23" s="854">
        <f t="shared" si="0"/>
        <v>0</v>
      </c>
    </row>
    <row r="24" spans="1:5" x14ac:dyDescent="0.2">
      <c r="A24" s="160">
        <v>45047</v>
      </c>
      <c r="B24" s="103">
        <f>DATEVALUE("1.5.23")</f>
        <v>45047</v>
      </c>
      <c r="C24" s="103">
        <v>3000</v>
      </c>
      <c r="E24" s="854">
        <f t="shared" si="0"/>
        <v>0</v>
      </c>
    </row>
    <row r="25" spans="1:5" x14ac:dyDescent="0.2">
      <c r="A25" s="160">
        <v>45061</v>
      </c>
      <c r="B25" s="103">
        <f>DATEVALUE("15.5.23")</f>
        <v>45061</v>
      </c>
      <c r="C25" s="103">
        <v>3000</v>
      </c>
      <c r="E25" s="854">
        <f t="shared" si="0"/>
        <v>0</v>
      </c>
    </row>
    <row r="26" spans="1:5" x14ac:dyDescent="0.2">
      <c r="A26" s="160">
        <v>45078</v>
      </c>
      <c r="B26" s="103">
        <f>DATEVALUE("1.6.23")</f>
        <v>45078</v>
      </c>
      <c r="C26" s="772">
        <v>3000</v>
      </c>
      <c r="E26" s="854">
        <f t="shared" si="0"/>
        <v>0</v>
      </c>
    </row>
    <row r="27" spans="1:5" x14ac:dyDescent="0.2">
      <c r="A27" s="160">
        <v>45092</v>
      </c>
      <c r="B27" s="103">
        <f>DATEVALUE("15.6.23")</f>
        <v>45092</v>
      </c>
      <c r="C27" s="103">
        <v>3000</v>
      </c>
      <c r="E27" s="854">
        <f t="shared" si="0"/>
        <v>0</v>
      </c>
    </row>
    <row r="28" spans="1:5" x14ac:dyDescent="0.2">
      <c r="A28" s="160">
        <v>45108</v>
      </c>
      <c r="B28" s="103">
        <f>DATEVALUE("1.7.23")</f>
        <v>45108</v>
      </c>
      <c r="C28" s="840">
        <v>3000</v>
      </c>
      <c r="E28" s="854">
        <f t="shared" si="0"/>
        <v>0</v>
      </c>
    </row>
    <row r="29" spans="1:5" x14ac:dyDescent="0.2">
      <c r="A29" s="160">
        <v>45122</v>
      </c>
      <c r="B29" s="103">
        <f>DATEVALUE("15.7.23")</f>
        <v>45122</v>
      </c>
      <c r="C29" s="103">
        <v>2950</v>
      </c>
      <c r="E29" s="854">
        <f t="shared" si="0"/>
        <v>50</v>
      </c>
    </row>
    <row r="30" spans="1:5" x14ac:dyDescent="0.2">
      <c r="A30" s="160">
        <v>45139</v>
      </c>
      <c r="B30" s="103">
        <f>DATEVALUE("1.8.23")</f>
        <v>45139</v>
      </c>
      <c r="C30" s="103">
        <v>2900</v>
      </c>
      <c r="E30" s="854">
        <f t="shared" si="0"/>
        <v>50</v>
      </c>
    </row>
    <row r="31" spans="1:5" x14ac:dyDescent="0.2">
      <c r="A31" s="160">
        <v>45153</v>
      </c>
      <c r="B31" s="103">
        <f>DATEVALUE("15.8.23")</f>
        <v>45153</v>
      </c>
      <c r="C31" s="103">
        <v>2850</v>
      </c>
      <c r="E31" s="854">
        <f t="shared" si="0"/>
        <v>50</v>
      </c>
    </row>
    <row r="32" spans="1:5" x14ac:dyDescent="0.2">
      <c r="A32" s="160">
        <v>45170</v>
      </c>
      <c r="B32" s="103">
        <f>DATEVALUE("1.9.23")</f>
        <v>45170</v>
      </c>
      <c r="C32" s="103">
        <v>2800</v>
      </c>
      <c r="E32" s="854">
        <f t="shared" si="0"/>
        <v>50</v>
      </c>
    </row>
    <row r="33" spans="1:5" x14ac:dyDescent="0.2">
      <c r="A33" s="160">
        <v>45184</v>
      </c>
      <c r="B33" s="103">
        <f>DATEVALUE("15.9.23")</f>
        <v>45184</v>
      </c>
      <c r="C33" s="103">
        <v>2750</v>
      </c>
      <c r="E33" s="854">
        <f t="shared" si="0"/>
        <v>50</v>
      </c>
    </row>
    <row r="34" spans="1:5" x14ac:dyDescent="0.2">
      <c r="A34" s="160">
        <v>45200</v>
      </c>
      <c r="B34" s="103">
        <f>DATEVALUE("1.10.23")</f>
        <v>45200</v>
      </c>
      <c r="C34" s="840">
        <v>2700</v>
      </c>
      <c r="E34" s="854">
        <f t="shared" si="0"/>
        <v>50</v>
      </c>
    </row>
    <row r="35" spans="1:5" x14ac:dyDescent="0.2">
      <c r="A35" s="160">
        <v>45214</v>
      </c>
      <c r="B35" s="103">
        <f>DATEVALUE("15.10.23")</f>
        <v>45214</v>
      </c>
      <c r="C35" s="103">
        <v>2650</v>
      </c>
      <c r="E35" s="854">
        <f t="shared" si="0"/>
        <v>50</v>
      </c>
    </row>
    <row r="36" spans="1:5" x14ac:dyDescent="0.2">
      <c r="A36" s="160">
        <v>45231</v>
      </c>
      <c r="B36" s="103">
        <f>DATEVALUE("1.11.23")</f>
        <v>45231</v>
      </c>
      <c r="C36" s="772">
        <v>2600</v>
      </c>
      <c r="E36" s="854">
        <f t="shared" si="0"/>
        <v>50</v>
      </c>
    </row>
    <row r="37" spans="1:5" x14ac:dyDescent="0.2">
      <c r="A37" s="160">
        <v>45245</v>
      </c>
      <c r="B37" s="103">
        <f>DATEVALUE("15.11.23")</f>
        <v>45245</v>
      </c>
      <c r="C37" s="103">
        <v>2550</v>
      </c>
      <c r="E37" s="854">
        <f t="shared" si="0"/>
        <v>50</v>
      </c>
    </row>
    <row r="38" spans="1:5" x14ac:dyDescent="0.2">
      <c r="A38" s="160">
        <v>45261</v>
      </c>
      <c r="B38" s="103">
        <f>DATEVALUE("1.12.23")</f>
        <v>45261</v>
      </c>
      <c r="C38" s="103">
        <v>2500</v>
      </c>
      <c r="E38" s="854">
        <f t="shared" si="0"/>
        <v>50</v>
      </c>
    </row>
    <row r="39" spans="1:5" x14ac:dyDescent="0.2">
      <c r="A39" s="456">
        <v>45275</v>
      </c>
      <c r="B39" s="457">
        <f>DATEVALUE("15.12.23")</f>
        <v>45275</v>
      </c>
      <c r="C39" s="457">
        <v>2450</v>
      </c>
      <c r="D39" s="856"/>
      <c r="E39" s="857">
        <f t="shared" si="0"/>
        <v>50</v>
      </c>
    </row>
    <row r="40" spans="1:5" x14ac:dyDescent="0.2">
      <c r="A40" s="160">
        <v>45292</v>
      </c>
      <c r="B40" s="103">
        <f>DATEVALUE("1.1.24")</f>
        <v>45292</v>
      </c>
      <c r="C40" s="103">
        <v>2400</v>
      </c>
      <c r="E40" s="854">
        <f t="shared" ref="E40:E87" si="1">C39-C40</f>
        <v>50</v>
      </c>
    </row>
    <row r="41" spans="1:5" x14ac:dyDescent="0.2">
      <c r="A41" s="160">
        <v>45306</v>
      </c>
      <c r="B41" s="103">
        <f>DATEVALUE("15.1.24")</f>
        <v>45306</v>
      </c>
      <c r="C41" s="103">
        <v>2350</v>
      </c>
      <c r="E41" s="854">
        <f t="shared" si="1"/>
        <v>50</v>
      </c>
    </row>
    <row r="42" spans="1:5" x14ac:dyDescent="0.2">
      <c r="A42" s="160">
        <v>45323</v>
      </c>
      <c r="B42" s="103">
        <f>DATEVALUE("1.2.24")</f>
        <v>45323</v>
      </c>
      <c r="C42" s="103">
        <v>2300</v>
      </c>
      <c r="E42" s="854">
        <f t="shared" si="1"/>
        <v>50</v>
      </c>
    </row>
    <row r="43" spans="1:5" x14ac:dyDescent="0.2">
      <c r="A43" s="160">
        <v>45337</v>
      </c>
      <c r="B43" s="103">
        <f>DATEVALUE("15.2.24")</f>
        <v>45337</v>
      </c>
      <c r="C43" s="103">
        <v>2250</v>
      </c>
      <c r="E43" s="854">
        <f t="shared" si="1"/>
        <v>50</v>
      </c>
    </row>
    <row r="44" spans="1:5" x14ac:dyDescent="0.2">
      <c r="A44" s="160">
        <v>45352</v>
      </c>
      <c r="B44" s="103">
        <f>DATEVALUE("1.3.24")</f>
        <v>45352</v>
      </c>
      <c r="C44" s="103">
        <v>2200</v>
      </c>
      <c r="E44" s="854">
        <f t="shared" si="1"/>
        <v>50</v>
      </c>
    </row>
    <row r="45" spans="1:5" x14ac:dyDescent="0.2">
      <c r="A45" s="160">
        <v>45366</v>
      </c>
      <c r="B45" s="103">
        <f>DATEVALUE("15.3.24")</f>
        <v>45366</v>
      </c>
      <c r="C45" s="103">
        <v>2150</v>
      </c>
      <c r="E45" s="854">
        <f t="shared" si="1"/>
        <v>50</v>
      </c>
    </row>
    <row r="46" spans="1:5" x14ac:dyDescent="0.2">
      <c r="A46" s="160">
        <v>45383</v>
      </c>
      <c r="B46" s="103">
        <f>DATEVALUE("1.4.24")</f>
        <v>45383</v>
      </c>
      <c r="C46" s="103">
        <v>2100</v>
      </c>
      <c r="E46" s="854">
        <f t="shared" si="1"/>
        <v>50</v>
      </c>
    </row>
    <row r="47" spans="1:5" x14ac:dyDescent="0.2">
      <c r="A47" s="160">
        <v>45397</v>
      </c>
      <c r="B47" s="103">
        <f>DATEVALUE("15.4.24")</f>
        <v>45397</v>
      </c>
      <c r="C47" s="103">
        <v>2050</v>
      </c>
      <c r="E47" s="854">
        <f t="shared" si="1"/>
        <v>50</v>
      </c>
    </row>
    <row r="48" spans="1:5" x14ac:dyDescent="0.2">
      <c r="A48" s="160">
        <v>45413</v>
      </c>
      <c r="B48" s="103">
        <f>DATEVALUE("1.5.24")</f>
        <v>45413</v>
      </c>
      <c r="C48" s="772">
        <v>2000</v>
      </c>
      <c r="E48" s="854">
        <f t="shared" si="1"/>
        <v>50</v>
      </c>
    </row>
    <row r="49" spans="1:5" x14ac:dyDescent="0.2">
      <c r="A49" s="160">
        <v>45427</v>
      </c>
      <c r="B49" s="103">
        <f>DATEVALUE("15.5.24")</f>
        <v>45427</v>
      </c>
      <c r="C49" s="103">
        <v>1950</v>
      </c>
      <c r="E49" s="854">
        <f t="shared" si="1"/>
        <v>50</v>
      </c>
    </row>
    <row r="50" spans="1:5" x14ac:dyDescent="0.2">
      <c r="A50" s="160">
        <v>45444</v>
      </c>
      <c r="B50" s="103">
        <f>DATEVALUE("1.6.24")</f>
        <v>45444</v>
      </c>
      <c r="C50" s="772">
        <v>1900</v>
      </c>
      <c r="E50" s="854">
        <f t="shared" si="1"/>
        <v>50</v>
      </c>
    </row>
    <row r="51" spans="1:5" x14ac:dyDescent="0.2">
      <c r="A51" s="160">
        <v>45458</v>
      </c>
      <c r="B51" s="103">
        <f>DATEVALUE("15.6.24")</f>
        <v>45458</v>
      </c>
      <c r="C51" s="103">
        <v>1850</v>
      </c>
      <c r="E51" s="854">
        <f t="shared" si="1"/>
        <v>50</v>
      </c>
    </row>
    <row r="52" spans="1:5" x14ac:dyDescent="0.2">
      <c r="A52" s="160">
        <v>45474</v>
      </c>
      <c r="B52" s="103">
        <f>DATEVALUE("1.7.24")</f>
        <v>45474</v>
      </c>
      <c r="C52" s="840">
        <v>1800</v>
      </c>
      <c r="E52" s="854">
        <f t="shared" si="1"/>
        <v>50</v>
      </c>
    </row>
    <row r="53" spans="1:5" x14ac:dyDescent="0.2">
      <c r="A53" s="160">
        <v>45488</v>
      </c>
      <c r="B53" s="103">
        <f>DATEVALUE("15.7.24")</f>
        <v>45488</v>
      </c>
      <c r="C53" s="103">
        <v>1750</v>
      </c>
      <c r="E53" s="854">
        <f t="shared" si="1"/>
        <v>50</v>
      </c>
    </row>
    <row r="54" spans="1:5" x14ac:dyDescent="0.2">
      <c r="A54" s="160">
        <v>45505</v>
      </c>
      <c r="B54" s="103">
        <f>DATEVALUE("1.8.24")</f>
        <v>45505</v>
      </c>
      <c r="C54" s="103">
        <v>1700</v>
      </c>
      <c r="E54" s="854">
        <f t="shared" si="1"/>
        <v>50</v>
      </c>
    </row>
    <row r="55" spans="1:5" x14ac:dyDescent="0.2">
      <c r="A55" s="160">
        <v>45519</v>
      </c>
      <c r="B55" s="103">
        <f>DATEVALUE("15.8.24")</f>
        <v>45519</v>
      </c>
      <c r="C55" s="103">
        <v>1650</v>
      </c>
      <c r="E55" s="854">
        <f t="shared" si="1"/>
        <v>50</v>
      </c>
    </row>
    <row r="56" spans="1:5" x14ac:dyDescent="0.2">
      <c r="A56" s="160">
        <v>45536</v>
      </c>
      <c r="B56" s="103">
        <f>DATEVALUE("1.9.24")</f>
        <v>45536</v>
      </c>
      <c r="C56" s="103">
        <v>1600</v>
      </c>
      <c r="E56" s="854">
        <f t="shared" si="1"/>
        <v>50</v>
      </c>
    </row>
    <row r="57" spans="1:5" x14ac:dyDescent="0.2">
      <c r="A57" s="160">
        <v>45550</v>
      </c>
      <c r="B57" s="103">
        <f>DATEVALUE("15.9.24")</f>
        <v>45550</v>
      </c>
      <c r="C57" s="103">
        <v>1550</v>
      </c>
      <c r="E57" s="854">
        <f t="shared" si="1"/>
        <v>50</v>
      </c>
    </row>
    <row r="58" spans="1:5" x14ac:dyDescent="0.2">
      <c r="A58" s="160">
        <v>45566</v>
      </c>
      <c r="B58" s="103">
        <f>DATEVALUE("1.10.24")</f>
        <v>45566</v>
      </c>
      <c r="C58" s="103">
        <v>1500</v>
      </c>
      <c r="E58" s="854">
        <f t="shared" si="1"/>
        <v>50</v>
      </c>
    </row>
    <row r="59" spans="1:5" x14ac:dyDescent="0.2">
      <c r="A59" s="160">
        <v>45580</v>
      </c>
      <c r="B59" s="103">
        <f>DATEVALUE("15.10.24")</f>
        <v>45580</v>
      </c>
      <c r="C59" s="103">
        <v>1450</v>
      </c>
      <c r="E59" s="854">
        <f t="shared" si="1"/>
        <v>50</v>
      </c>
    </row>
    <row r="60" spans="1:5" x14ac:dyDescent="0.2">
      <c r="A60" s="160">
        <v>45597</v>
      </c>
      <c r="B60" s="103">
        <f>DATEVALUE("1.11.24")</f>
        <v>45597</v>
      </c>
      <c r="C60" s="772">
        <v>1400</v>
      </c>
      <c r="E60" s="854">
        <f t="shared" si="1"/>
        <v>50</v>
      </c>
    </row>
    <row r="61" spans="1:5" x14ac:dyDescent="0.2">
      <c r="A61" s="160">
        <v>45611</v>
      </c>
      <c r="B61" s="103">
        <f>DATEVALUE("15.11.24")</f>
        <v>45611</v>
      </c>
      <c r="C61" s="103">
        <v>1350</v>
      </c>
      <c r="E61" s="854">
        <f t="shared" si="1"/>
        <v>50</v>
      </c>
    </row>
    <row r="62" spans="1:5" x14ac:dyDescent="0.2">
      <c r="A62" s="160">
        <v>45627</v>
      </c>
      <c r="B62" s="103">
        <f>DATEVALUE("1.12.24")</f>
        <v>45627</v>
      </c>
      <c r="C62" s="103">
        <v>1300</v>
      </c>
      <c r="E62" s="854">
        <f t="shared" si="1"/>
        <v>50</v>
      </c>
    </row>
    <row r="63" spans="1:5" x14ac:dyDescent="0.2">
      <c r="A63" s="456">
        <v>45641</v>
      </c>
      <c r="B63" s="457">
        <f>DATEVALUE("15.12.24")</f>
        <v>45641</v>
      </c>
      <c r="C63" s="457">
        <v>1250</v>
      </c>
      <c r="D63" s="856"/>
      <c r="E63" s="857">
        <f t="shared" si="1"/>
        <v>50</v>
      </c>
    </row>
    <row r="64" spans="1:5" x14ac:dyDescent="0.2">
      <c r="A64" s="160">
        <v>45658</v>
      </c>
      <c r="B64" s="103">
        <f>DATEVALUE("1.1.25")</f>
        <v>45658</v>
      </c>
      <c r="C64" s="103">
        <v>1205</v>
      </c>
      <c r="E64" s="854">
        <f t="shared" si="1"/>
        <v>45</v>
      </c>
    </row>
    <row r="65" spans="1:5" x14ac:dyDescent="0.2">
      <c r="A65" s="160">
        <v>45672</v>
      </c>
      <c r="B65" s="103">
        <f>DATEVALUE("15.1.25")</f>
        <v>45672</v>
      </c>
      <c r="C65" s="103">
        <v>1160</v>
      </c>
      <c r="E65" s="854">
        <f t="shared" si="1"/>
        <v>45</v>
      </c>
    </row>
    <row r="66" spans="1:5" x14ac:dyDescent="0.2">
      <c r="A66" s="160" t="s">
        <v>545</v>
      </c>
      <c r="B66" s="103">
        <f>DATEVALUE("1.2.25")</f>
        <v>45689</v>
      </c>
      <c r="C66" s="103">
        <v>1115</v>
      </c>
      <c r="E66" s="854">
        <f t="shared" si="1"/>
        <v>45</v>
      </c>
    </row>
    <row r="67" spans="1:5" x14ac:dyDescent="0.2">
      <c r="A67" s="160">
        <v>45703</v>
      </c>
      <c r="B67" s="103">
        <f>DATEVALUE("15.2.25")</f>
        <v>45703</v>
      </c>
      <c r="C67" s="103">
        <v>1070</v>
      </c>
      <c r="E67" s="854">
        <f t="shared" si="1"/>
        <v>45</v>
      </c>
    </row>
    <row r="68" spans="1:5" x14ac:dyDescent="0.2">
      <c r="A68" s="160">
        <v>45717</v>
      </c>
      <c r="B68" s="103">
        <f>DATEVALUE("1.3.25")</f>
        <v>45717</v>
      </c>
      <c r="C68" s="103">
        <v>1035</v>
      </c>
      <c r="E68" s="854">
        <f t="shared" si="1"/>
        <v>35</v>
      </c>
    </row>
    <row r="69" spans="1:5" x14ac:dyDescent="0.2">
      <c r="A69" s="160">
        <v>45731</v>
      </c>
      <c r="B69" s="103">
        <f>DATEVALUE("15.3.25")</f>
        <v>45731</v>
      </c>
      <c r="C69" s="103">
        <v>1000</v>
      </c>
      <c r="E69" s="854">
        <f t="shared" si="1"/>
        <v>35</v>
      </c>
    </row>
    <row r="70" spans="1:5" x14ac:dyDescent="0.2">
      <c r="A70" s="160">
        <v>45748</v>
      </c>
      <c r="B70" s="103">
        <f>DATEVALUE("1.4.25")</f>
        <v>45748</v>
      </c>
      <c r="C70" s="103">
        <v>965</v>
      </c>
      <c r="E70" s="854">
        <f t="shared" si="1"/>
        <v>35</v>
      </c>
    </row>
    <row r="71" spans="1:5" x14ac:dyDescent="0.2">
      <c r="A71" s="160">
        <v>45762</v>
      </c>
      <c r="B71" s="103">
        <f>DATEVALUE("15.4.25")</f>
        <v>45762</v>
      </c>
      <c r="C71" s="103">
        <v>930</v>
      </c>
      <c r="E71" s="854">
        <f t="shared" si="1"/>
        <v>35</v>
      </c>
    </row>
    <row r="72" spans="1:5" x14ac:dyDescent="0.2">
      <c r="A72" s="160">
        <v>45778</v>
      </c>
      <c r="B72" s="103">
        <f>DATEVALUE("1.5.25")</f>
        <v>45778</v>
      </c>
      <c r="C72" s="840">
        <v>900</v>
      </c>
      <c r="E72" s="854">
        <f t="shared" si="1"/>
        <v>30</v>
      </c>
    </row>
    <row r="73" spans="1:5" x14ac:dyDescent="0.2">
      <c r="A73" s="160">
        <v>45792</v>
      </c>
      <c r="B73" s="103">
        <f>DATEVALUE("15.5.25")</f>
        <v>45792</v>
      </c>
      <c r="C73" s="103">
        <v>875</v>
      </c>
      <c r="E73" s="854">
        <f t="shared" si="1"/>
        <v>25</v>
      </c>
    </row>
    <row r="74" spans="1:5" x14ac:dyDescent="0.2">
      <c r="A74" s="160">
        <v>45809</v>
      </c>
      <c r="B74" s="103">
        <f>DATEVALUE("1.6.25")</f>
        <v>45809</v>
      </c>
      <c r="C74" s="103">
        <v>850</v>
      </c>
      <c r="E74" s="854">
        <f t="shared" si="1"/>
        <v>25</v>
      </c>
    </row>
    <row r="75" spans="1:5" x14ac:dyDescent="0.2">
      <c r="A75" s="160">
        <v>45823</v>
      </c>
      <c r="B75" s="103">
        <f>DATEVALUE("15.6.25")</f>
        <v>45823</v>
      </c>
      <c r="C75" s="103">
        <v>825</v>
      </c>
      <c r="E75" s="854">
        <f t="shared" si="1"/>
        <v>25</v>
      </c>
    </row>
    <row r="76" spans="1:5" x14ac:dyDescent="0.2">
      <c r="A76" s="160">
        <v>45839</v>
      </c>
      <c r="B76" s="103">
        <f>DATEVALUE("1.7.25")</f>
        <v>45839</v>
      </c>
      <c r="C76" s="103">
        <v>800</v>
      </c>
      <c r="E76" s="854">
        <f t="shared" si="1"/>
        <v>25</v>
      </c>
    </row>
    <row r="77" spans="1:5" x14ac:dyDescent="0.2">
      <c r="A77" s="160">
        <v>45853</v>
      </c>
      <c r="B77" s="103">
        <f>DATEVALUE("15.7.25")</f>
        <v>45853</v>
      </c>
      <c r="C77" s="103">
        <v>775</v>
      </c>
      <c r="E77" s="854">
        <f t="shared" si="1"/>
        <v>25</v>
      </c>
    </row>
    <row r="78" spans="1:5" x14ac:dyDescent="0.2">
      <c r="A78" s="160">
        <v>45870</v>
      </c>
      <c r="B78" s="103">
        <f>DATEVALUE("1.8.25")</f>
        <v>45870</v>
      </c>
      <c r="C78" s="103">
        <v>750</v>
      </c>
      <c r="E78" s="854">
        <f t="shared" si="1"/>
        <v>25</v>
      </c>
    </row>
    <row r="79" spans="1:5" x14ac:dyDescent="0.2">
      <c r="A79" s="160">
        <v>45884</v>
      </c>
      <c r="B79" s="103">
        <f>DATEVALUE("15.8.25")</f>
        <v>45884</v>
      </c>
      <c r="C79" s="103">
        <v>725</v>
      </c>
      <c r="E79" s="854">
        <f t="shared" si="1"/>
        <v>25</v>
      </c>
    </row>
    <row r="80" spans="1:5" x14ac:dyDescent="0.2">
      <c r="A80" s="160">
        <v>45901</v>
      </c>
      <c r="B80" s="103">
        <f>DATEVALUE("1.9.25")</f>
        <v>45901</v>
      </c>
      <c r="C80" s="103">
        <v>700</v>
      </c>
      <c r="E80" s="854">
        <f t="shared" si="1"/>
        <v>25</v>
      </c>
    </row>
    <row r="81" spans="1:5" x14ac:dyDescent="0.2">
      <c r="A81" s="160">
        <v>45915</v>
      </c>
      <c r="B81" s="103">
        <f>DATEVALUE("15.9.25")</f>
        <v>45915</v>
      </c>
      <c r="C81" s="103">
        <v>675</v>
      </c>
      <c r="E81" s="854">
        <f t="shared" si="1"/>
        <v>25</v>
      </c>
    </row>
    <row r="82" spans="1:5" x14ac:dyDescent="0.2">
      <c r="A82" s="160">
        <v>45931</v>
      </c>
      <c r="B82" s="103">
        <f>DATEVALUE("1.10.25")</f>
        <v>45931</v>
      </c>
      <c r="C82" s="103">
        <v>650</v>
      </c>
      <c r="E82" s="854">
        <f t="shared" si="1"/>
        <v>25</v>
      </c>
    </row>
    <row r="83" spans="1:5" x14ac:dyDescent="0.2">
      <c r="A83" s="160">
        <v>45945</v>
      </c>
      <c r="B83" s="103">
        <f>DATEVALUE("15.10.25")</f>
        <v>45945</v>
      </c>
      <c r="C83" s="103">
        <v>625</v>
      </c>
      <c r="E83" s="854">
        <f t="shared" si="1"/>
        <v>25</v>
      </c>
    </row>
    <row r="84" spans="1:5" x14ac:dyDescent="0.2">
      <c r="A84" s="160">
        <v>45962</v>
      </c>
      <c r="B84" s="103">
        <f>DATEVALUE("1.11.25")</f>
        <v>45962</v>
      </c>
      <c r="C84" s="840">
        <v>600</v>
      </c>
      <c r="E84" s="854">
        <f t="shared" si="1"/>
        <v>25</v>
      </c>
    </row>
    <row r="85" spans="1:5" x14ac:dyDescent="0.2">
      <c r="A85" s="160">
        <v>45976</v>
      </c>
      <c r="B85" s="103">
        <f>DATEVALUE("15.11.25")</f>
        <v>45976</v>
      </c>
      <c r="C85" s="103">
        <v>575</v>
      </c>
      <c r="E85" s="854">
        <f t="shared" si="1"/>
        <v>25</v>
      </c>
    </row>
    <row r="86" spans="1:5" x14ac:dyDescent="0.2">
      <c r="A86" s="160">
        <v>45992</v>
      </c>
      <c r="B86" s="103">
        <f>DATEVALUE("1.12.25")</f>
        <v>45992</v>
      </c>
      <c r="C86" s="103">
        <v>550</v>
      </c>
      <c r="E86" s="854">
        <f t="shared" si="1"/>
        <v>25</v>
      </c>
    </row>
    <row r="87" spans="1:5" x14ac:dyDescent="0.2">
      <c r="A87" s="160">
        <v>46006</v>
      </c>
      <c r="B87" s="103">
        <f>DATEVALUE("15.12.25")</f>
        <v>46006</v>
      </c>
      <c r="C87" s="103">
        <v>525</v>
      </c>
      <c r="E87" s="854">
        <f t="shared" si="1"/>
        <v>25</v>
      </c>
    </row>
  </sheetData>
  <sheetProtection sheet="1"/>
  <customSheetViews>
    <customSheetView guid="{B919D2EB-D122-4E25-8E52-25BE88B69D9E}" scale="50" showGridLines="0" fitToPage="1" state="hidden" topLeftCell="A7">
      <selection activeCell="A18" sqref="A18"/>
      <pageMargins left="0.78740157499999996" right="0.78740157499999996" top="0.984251969" bottom="0.984251969" header="0.4921259845" footer="0.4921259845"/>
      <pageSetup paperSize="9" scale="63" orientation="portrait" r:id="rId1"/>
      <headerFooter alignWithMargins="0"/>
      <extLst>
        <ext xmlns:xlsdti="http://schemas.microsoft.com/office/spreadsheetml/2023/showDataTypeIcons" uri="{a3c15fd4-4149-4032-8f15-062bd4999b60}">
          <xlsdti:showDataTypeIconsCustomSheetView visible="0"/>
        </ext>
      </extLst>
    </customSheetView>
  </customSheetViews>
  <phoneticPr fontId="16" type="noConversion"/>
  <pageMargins left="0.78740157499999996" right="0.78740157499999996" top="0.984251969" bottom="0.984251969" header="0.4921259845" footer="0.4921259845"/>
  <pageSetup paperSize="9" scale="57"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E5907-596A-4BB1-BF53-0F6118A47A95}">
  <sheetPr codeName="Tabelle6">
    <tabColor indexed="43"/>
  </sheetPr>
  <dimension ref="A1:H42"/>
  <sheetViews>
    <sheetView showGridLines="0" showZeros="0" zoomScaleNormal="100" workbookViewId="0">
      <selection activeCell="C23" sqref="C23"/>
    </sheetView>
  </sheetViews>
  <sheetFormatPr baseColWidth="10" defaultRowHeight="12.75" x14ac:dyDescent="0.2"/>
  <cols>
    <col min="1" max="1" width="3.140625" customWidth="1"/>
    <col min="2" max="2" width="25.28515625" customWidth="1"/>
    <col min="3" max="3" width="9.5703125" style="16" customWidth="1"/>
    <col min="4" max="4" width="10.42578125" customWidth="1"/>
    <col min="5" max="5" width="3.7109375" customWidth="1"/>
    <col min="6" max="6" width="24.7109375" customWidth="1"/>
    <col min="7" max="7" width="9.28515625" style="16" customWidth="1"/>
    <col min="8" max="8" width="10.140625" customWidth="1"/>
  </cols>
  <sheetData>
    <row r="1" spans="1:8" ht="23.25" x14ac:dyDescent="0.35">
      <c r="A1" s="760">
        <f>DECKBLATT!B14</f>
        <v>0</v>
      </c>
    </row>
    <row r="2" spans="1:8" ht="13.5" customHeight="1" x14ac:dyDescent="0.2"/>
    <row r="3" spans="1:8" ht="16.5" customHeight="1" x14ac:dyDescent="0.25">
      <c r="C3" s="113"/>
      <c r="D3" s="88"/>
      <c r="E3" s="21"/>
      <c r="F3" s="981"/>
      <c r="G3" s="981"/>
      <c r="H3" s="981"/>
    </row>
    <row r="4" spans="1:8" ht="27.75" customHeight="1" x14ac:dyDescent="0.25">
      <c r="A4" s="791" t="s">
        <v>407</v>
      </c>
      <c r="F4" s="988">
        <f>DECKBLATT!B11</f>
        <v>46022</v>
      </c>
      <c r="G4" s="988"/>
      <c r="H4" s="988"/>
    </row>
    <row r="5" spans="1:8" ht="12.75" customHeight="1" x14ac:dyDescent="0.2">
      <c r="B5" s="7"/>
      <c r="F5" s="988"/>
      <c r="G5" s="988"/>
      <c r="H5" s="988"/>
    </row>
    <row r="6" spans="1:8" ht="18.75" customHeight="1" x14ac:dyDescent="0.35">
      <c r="A6" s="539" t="s">
        <v>26</v>
      </c>
      <c r="D6" s="794" t="s">
        <v>425</v>
      </c>
    </row>
    <row r="7" spans="1:8" x14ac:dyDescent="0.2">
      <c r="B7" s="11"/>
    </row>
    <row r="8" spans="1:8" s="18" customFormat="1" ht="12.75" customHeight="1" x14ac:dyDescent="0.2">
      <c r="A8" s="982" t="s">
        <v>276</v>
      </c>
      <c r="B8" s="986" t="s">
        <v>27</v>
      </c>
      <c r="C8" s="992" t="s">
        <v>337</v>
      </c>
      <c r="D8" s="166" t="s">
        <v>3</v>
      </c>
      <c r="E8" s="984" t="s">
        <v>276</v>
      </c>
      <c r="F8" s="986" t="s">
        <v>27</v>
      </c>
      <c r="G8" s="992" t="s">
        <v>337</v>
      </c>
      <c r="H8" s="166" t="s">
        <v>3</v>
      </c>
    </row>
    <row r="9" spans="1:8" s="18" customFormat="1" ht="13.5" customHeight="1" x14ac:dyDescent="0.2">
      <c r="A9" s="983"/>
      <c r="B9" s="987"/>
      <c r="C9" s="993"/>
      <c r="D9" s="166" t="s">
        <v>28</v>
      </c>
      <c r="E9" s="985"/>
      <c r="F9" s="987"/>
      <c r="G9" s="993"/>
      <c r="H9" s="166" t="s">
        <v>28</v>
      </c>
    </row>
    <row r="10" spans="1:8" ht="19.5" customHeight="1" x14ac:dyDescent="0.2">
      <c r="A10" s="171">
        <v>1</v>
      </c>
      <c r="B10" s="647"/>
      <c r="C10" s="453"/>
      <c r="D10" s="454">
        <f>IF(B10=FALSE,0,3000)</f>
        <v>0</v>
      </c>
      <c r="E10" s="128"/>
      <c r="F10" s="994" t="s">
        <v>29</v>
      </c>
      <c r="G10" s="995"/>
      <c r="H10" s="163">
        <f>D42</f>
        <v>0</v>
      </c>
    </row>
    <row r="11" spans="1:8" ht="19.5" customHeight="1" x14ac:dyDescent="0.2">
      <c r="A11" s="169">
        <v>2</v>
      </c>
      <c r="B11" s="648"/>
      <c r="C11" s="452"/>
      <c r="D11" s="454">
        <f>IF(B11=FALSE,0,3000)</f>
        <v>0</v>
      </c>
      <c r="E11" s="130">
        <v>33</v>
      </c>
      <c r="F11" s="650"/>
      <c r="G11" s="243"/>
      <c r="H11" s="552">
        <f>IF(F11=FALSE,0,3000)</f>
        <v>0</v>
      </c>
    </row>
    <row r="12" spans="1:8" ht="19.5" customHeight="1" x14ac:dyDescent="0.2">
      <c r="A12" s="169">
        <v>3</v>
      </c>
      <c r="B12" s="648"/>
      <c r="C12" s="244"/>
      <c r="D12" s="454">
        <f>IF(B12=FALSE,0,3000)</f>
        <v>0</v>
      </c>
      <c r="E12" s="167">
        <v>34</v>
      </c>
      <c r="F12" s="651"/>
      <c r="G12" s="244"/>
      <c r="H12" s="552">
        <f>IF(F12=FALSE,0,3000)</f>
        <v>0</v>
      </c>
    </row>
    <row r="13" spans="1:8" ht="19.5" customHeight="1" x14ac:dyDescent="0.2">
      <c r="A13" s="169">
        <v>4</v>
      </c>
      <c r="B13" s="648"/>
      <c r="C13" s="244"/>
      <c r="D13" s="454">
        <f t="shared" ref="D13:D34" si="0">IF(B13=FALSE,0,3000)</f>
        <v>0</v>
      </c>
      <c r="E13" s="167">
        <v>35</v>
      </c>
      <c r="F13" s="651"/>
      <c r="G13" s="244"/>
      <c r="H13" s="552">
        <f t="shared" ref="H13:H41" si="1">IF(F13=FALSE,0,3000)</f>
        <v>0</v>
      </c>
    </row>
    <row r="14" spans="1:8" ht="19.5" customHeight="1" x14ac:dyDescent="0.2">
      <c r="A14" s="169">
        <v>5</v>
      </c>
      <c r="B14" s="648"/>
      <c r="C14" s="244"/>
      <c r="D14" s="454">
        <f t="shared" si="0"/>
        <v>0</v>
      </c>
      <c r="E14" s="167">
        <v>36</v>
      </c>
      <c r="F14" s="651"/>
      <c r="G14" s="244"/>
      <c r="H14" s="552">
        <f t="shared" si="1"/>
        <v>0</v>
      </c>
    </row>
    <row r="15" spans="1:8" ht="19.5" customHeight="1" x14ac:dyDescent="0.2">
      <c r="A15" s="169">
        <v>6</v>
      </c>
      <c r="B15" s="648"/>
      <c r="C15" s="244"/>
      <c r="D15" s="454">
        <f t="shared" si="0"/>
        <v>0</v>
      </c>
      <c r="E15" s="167">
        <v>37</v>
      </c>
      <c r="F15" s="651"/>
      <c r="G15" s="244"/>
      <c r="H15" s="552">
        <f t="shared" si="1"/>
        <v>0</v>
      </c>
    </row>
    <row r="16" spans="1:8" ht="19.5" customHeight="1" x14ac:dyDescent="0.2">
      <c r="A16" s="169">
        <v>7</v>
      </c>
      <c r="B16" s="648"/>
      <c r="C16" s="244"/>
      <c r="D16" s="454">
        <f t="shared" si="0"/>
        <v>0</v>
      </c>
      <c r="E16" s="167">
        <v>38</v>
      </c>
      <c r="F16" s="651"/>
      <c r="G16" s="244"/>
      <c r="H16" s="552">
        <f t="shared" si="1"/>
        <v>0</v>
      </c>
    </row>
    <row r="17" spans="1:8" ht="19.5" customHeight="1" x14ac:dyDescent="0.2">
      <c r="A17" s="169">
        <v>8</v>
      </c>
      <c r="B17" s="648"/>
      <c r="C17" s="244"/>
      <c r="D17" s="454">
        <f t="shared" si="0"/>
        <v>0</v>
      </c>
      <c r="E17" s="167">
        <v>39</v>
      </c>
      <c r="F17" s="651"/>
      <c r="G17" s="244"/>
      <c r="H17" s="552">
        <f t="shared" si="1"/>
        <v>0</v>
      </c>
    </row>
    <row r="18" spans="1:8" ht="19.5" customHeight="1" x14ac:dyDescent="0.2">
      <c r="A18" s="169">
        <v>9</v>
      </c>
      <c r="B18" s="648"/>
      <c r="C18" s="244"/>
      <c r="D18" s="454">
        <f t="shared" si="0"/>
        <v>0</v>
      </c>
      <c r="E18" s="167">
        <v>40</v>
      </c>
      <c r="F18" s="651"/>
      <c r="G18" s="244"/>
      <c r="H18" s="552">
        <f t="shared" si="1"/>
        <v>0</v>
      </c>
    </row>
    <row r="19" spans="1:8" ht="19.5" customHeight="1" x14ac:dyDescent="0.2">
      <c r="A19" s="787">
        <v>10</v>
      </c>
      <c r="B19" s="648"/>
      <c r="C19" s="244"/>
      <c r="D19" s="454">
        <f t="shared" si="0"/>
        <v>0</v>
      </c>
      <c r="E19" s="167">
        <v>41</v>
      </c>
      <c r="F19" s="651"/>
      <c r="G19" s="244"/>
      <c r="H19" s="552">
        <f t="shared" si="1"/>
        <v>0</v>
      </c>
    </row>
    <row r="20" spans="1:8" ht="19.5" customHeight="1" x14ac:dyDescent="0.2">
      <c r="A20" s="169">
        <v>11</v>
      </c>
      <c r="B20" s="648"/>
      <c r="C20" s="244"/>
      <c r="D20" s="454">
        <f t="shared" si="0"/>
        <v>0</v>
      </c>
      <c r="E20" s="167">
        <v>42</v>
      </c>
      <c r="F20" s="651"/>
      <c r="G20" s="244"/>
      <c r="H20" s="552">
        <f t="shared" si="1"/>
        <v>0</v>
      </c>
    </row>
    <row r="21" spans="1:8" ht="19.5" customHeight="1" x14ac:dyDescent="0.2">
      <c r="A21" s="169">
        <v>12</v>
      </c>
      <c r="B21" s="648"/>
      <c r="C21" s="244"/>
      <c r="D21" s="454">
        <f t="shared" si="0"/>
        <v>0</v>
      </c>
      <c r="E21" s="167">
        <v>43</v>
      </c>
      <c r="F21" s="651"/>
      <c r="G21" s="244"/>
      <c r="H21" s="552">
        <f t="shared" si="1"/>
        <v>0</v>
      </c>
    </row>
    <row r="22" spans="1:8" ht="19.5" customHeight="1" x14ac:dyDescent="0.2">
      <c r="A22" s="169">
        <v>13</v>
      </c>
      <c r="B22" s="648"/>
      <c r="C22" s="244"/>
      <c r="D22" s="454">
        <f t="shared" si="0"/>
        <v>0</v>
      </c>
      <c r="E22" s="167">
        <v>44</v>
      </c>
      <c r="F22" s="651"/>
      <c r="G22" s="244"/>
      <c r="H22" s="552">
        <f t="shared" si="1"/>
        <v>0</v>
      </c>
    </row>
    <row r="23" spans="1:8" ht="19.5" customHeight="1" x14ac:dyDescent="0.2">
      <c r="A23" s="169">
        <v>14</v>
      </c>
      <c r="B23" s="648"/>
      <c r="C23" s="244"/>
      <c r="D23" s="454">
        <f t="shared" si="0"/>
        <v>0</v>
      </c>
      <c r="E23" s="167">
        <v>45</v>
      </c>
      <c r="F23" s="651"/>
      <c r="G23" s="244"/>
      <c r="H23" s="552">
        <f t="shared" si="1"/>
        <v>0</v>
      </c>
    </row>
    <row r="24" spans="1:8" ht="19.5" customHeight="1" x14ac:dyDescent="0.2">
      <c r="A24" s="169">
        <v>15</v>
      </c>
      <c r="B24" s="648"/>
      <c r="C24" s="244"/>
      <c r="D24" s="454">
        <f t="shared" si="0"/>
        <v>0</v>
      </c>
      <c r="E24" s="167">
        <v>46</v>
      </c>
      <c r="F24" s="651"/>
      <c r="G24" s="244"/>
      <c r="H24" s="552">
        <f t="shared" si="1"/>
        <v>0</v>
      </c>
    </row>
    <row r="25" spans="1:8" ht="19.5" customHeight="1" x14ac:dyDescent="0.2">
      <c r="A25" s="169">
        <v>16</v>
      </c>
      <c r="B25" s="648"/>
      <c r="C25" s="244"/>
      <c r="D25" s="454">
        <f t="shared" si="0"/>
        <v>0</v>
      </c>
      <c r="E25" s="167">
        <v>47</v>
      </c>
      <c r="F25" s="651"/>
      <c r="G25" s="244"/>
      <c r="H25" s="552">
        <f t="shared" si="1"/>
        <v>0</v>
      </c>
    </row>
    <row r="26" spans="1:8" ht="19.5" customHeight="1" x14ac:dyDescent="0.2">
      <c r="A26" s="169">
        <v>17</v>
      </c>
      <c r="B26" s="648"/>
      <c r="C26" s="244"/>
      <c r="D26" s="454">
        <f t="shared" si="0"/>
        <v>0</v>
      </c>
      <c r="E26" s="167">
        <v>48</v>
      </c>
      <c r="F26" s="651"/>
      <c r="G26" s="244"/>
      <c r="H26" s="552">
        <f t="shared" si="1"/>
        <v>0</v>
      </c>
    </row>
    <row r="27" spans="1:8" ht="19.5" customHeight="1" x14ac:dyDescent="0.2">
      <c r="A27" s="169">
        <v>18</v>
      </c>
      <c r="B27" s="648"/>
      <c r="C27" s="244"/>
      <c r="D27" s="454">
        <f t="shared" si="0"/>
        <v>0</v>
      </c>
      <c r="E27" s="167">
        <v>49</v>
      </c>
      <c r="F27" s="651"/>
      <c r="G27" s="244"/>
      <c r="H27" s="552">
        <f t="shared" si="1"/>
        <v>0</v>
      </c>
    </row>
    <row r="28" spans="1:8" ht="19.5" customHeight="1" x14ac:dyDescent="0.2">
      <c r="A28" s="169">
        <v>19</v>
      </c>
      <c r="B28" s="648"/>
      <c r="C28" s="244"/>
      <c r="D28" s="454">
        <f t="shared" si="0"/>
        <v>0</v>
      </c>
      <c r="E28" s="167">
        <v>50</v>
      </c>
      <c r="F28" s="651"/>
      <c r="G28" s="244"/>
      <c r="H28" s="552">
        <f t="shared" si="1"/>
        <v>0</v>
      </c>
    </row>
    <row r="29" spans="1:8" ht="19.5" customHeight="1" x14ac:dyDescent="0.2">
      <c r="A29" s="169">
        <v>20</v>
      </c>
      <c r="B29" s="648"/>
      <c r="C29" s="244"/>
      <c r="D29" s="454">
        <f t="shared" si="0"/>
        <v>0</v>
      </c>
      <c r="E29" s="167">
        <v>51</v>
      </c>
      <c r="F29" s="651"/>
      <c r="G29" s="244"/>
      <c r="H29" s="552">
        <f t="shared" si="1"/>
        <v>0</v>
      </c>
    </row>
    <row r="30" spans="1:8" ht="19.5" customHeight="1" x14ac:dyDescent="0.2">
      <c r="A30" s="169">
        <v>21</v>
      </c>
      <c r="B30" s="648"/>
      <c r="C30" s="244"/>
      <c r="D30" s="454">
        <f t="shared" si="0"/>
        <v>0</v>
      </c>
      <c r="E30" s="167">
        <v>52</v>
      </c>
      <c r="F30" s="651"/>
      <c r="G30" s="244"/>
      <c r="H30" s="552">
        <f t="shared" si="1"/>
        <v>0</v>
      </c>
    </row>
    <row r="31" spans="1:8" ht="19.5" customHeight="1" x14ac:dyDescent="0.2">
      <c r="A31" s="169">
        <v>22</v>
      </c>
      <c r="B31" s="648"/>
      <c r="C31" s="244"/>
      <c r="D31" s="454">
        <f t="shared" si="0"/>
        <v>0</v>
      </c>
      <c r="E31" s="167">
        <v>53</v>
      </c>
      <c r="F31" s="651"/>
      <c r="G31" s="244"/>
      <c r="H31" s="552">
        <f t="shared" si="1"/>
        <v>0</v>
      </c>
    </row>
    <row r="32" spans="1:8" ht="19.5" customHeight="1" x14ac:dyDescent="0.2">
      <c r="A32" s="169">
        <v>23</v>
      </c>
      <c r="B32" s="648"/>
      <c r="C32" s="244"/>
      <c r="D32" s="454">
        <f t="shared" si="0"/>
        <v>0</v>
      </c>
      <c r="E32" s="167">
        <v>54</v>
      </c>
      <c r="F32" s="651"/>
      <c r="G32" s="244"/>
      <c r="H32" s="552">
        <f t="shared" si="1"/>
        <v>0</v>
      </c>
    </row>
    <row r="33" spans="1:8" ht="19.5" customHeight="1" x14ac:dyDescent="0.2">
      <c r="A33" s="169">
        <v>24</v>
      </c>
      <c r="B33" s="648"/>
      <c r="C33" s="244"/>
      <c r="D33" s="454">
        <f t="shared" si="0"/>
        <v>0</v>
      </c>
      <c r="E33" s="167">
        <v>55</v>
      </c>
      <c r="F33" s="651"/>
      <c r="G33" s="244"/>
      <c r="H33" s="552">
        <f t="shared" si="1"/>
        <v>0</v>
      </c>
    </row>
    <row r="34" spans="1:8" ht="19.5" customHeight="1" x14ac:dyDescent="0.2">
      <c r="A34" s="169">
        <v>25</v>
      </c>
      <c r="B34" s="648"/>
      <c r="C34" s="244"/>
      <c r="D34" s="454">
        <f t="shared" si="0"/>
        <v>0</v>
      </c>
      <c r="E34" s="167">
        <v>56</v>
      </c>
      <c r="F34" s="651"/>
      <c r="G34" s="244"/>
      <c r="H34" s="552">
        <f t="shared" si="1"/>
        <v>0</v>
      </c>
    </row>
    <row r="35" spans="1:8" ht="19.5" customHeight="1" x14ac:dyDescent="0.2">
      <c r="A35" s="169">
        <v>26</v>
      </c>
      <c r="B35" s="648"/>
      <c r="C35" s="244"/>
      <c r="D35" s="454">
        <f t="shared" ref="D35:D41" si="2">IF(B35=FALSE,0,3000)</f>
        <v>0</v>
      </c>
      <c r="E35" s="167">
        <v>57</v>
      </c>
      <c r="F35" s="651"/>
      <c r="G35" s="244"/>
      <c r="H35" s="552">
        <f t="shared" si="1"/>
        <v>0</v>
      </c>
    </row>
    <row r="36" spans="1:8" ht="19.5" customHeight="1" x14ac:dyDescent="0.2">
      <c r="A36" s="169">
        <v>27</v>
      </c>
      <c r="B36" s="648"/>
      <c r="C36" s="244"/>
      <c r="D36" s="454">
        <f t="shared" si="2"/>
        <v>0</v>
      </c>
      <c r="E36" s="167">
        <v>58</v>
      </c>
      <c r="F36" s="651"/>
      <c r="G36" s="244"/>
      <c r="H36" s="552">
        <f t="shared" si="1"/>
        <v>0</v>
      </c>
    </row>
    <row r="37" spans="1:8" ht="19.5" customHeight="1" x14ac:dyDescent="0.2">
      <c r="A37" s="169">
        <v>28</v>
      </c>
      <c r="B37" s="648"/>
      <c r="C37" s="244"/>
      <c r="D37" s="454">
        <f t="shared" si="2"/>
        <v>0</v>
      </c>
      <c r="E37" s="167">
        <v>59</v>
      </c>
      <c r="F37" s="651"/>
      <c r="G37" s="244"/>
      <c r="H37" s="552">
        <f>IF(F37=FALSE,0,3000)</f>
        <v>0</v>
      </c>
    </row>
    <row r="38" spans="1:8" ht="19.5" customHeight="1" x14ac:dyDescent="0.2">
      <c r="A38" s="169">
        <v>29</v>
      </c>
      <c r="B38" s="648"/>
      <c r="C38" s="244"/>
      <c r="D38" s="454">
        <f t="shared" si="2"/>
        <v>0</v>
      </c>
      <c r="E38" s="167">
        <v>60</v>
      </c>
      <c r="F38" s="651"/>
      <c r="G38" s="244"/>
      <c r="H38" s="552">
        <f t="shared" si="1"/>
        <v>0</v>
      </c>
    </row>
    <row r="39" spans="1:8" ht="19.5" customHeight="1" x14ac:dyDescent="0.2">
      <c r="A39" s="169">
        <v>30</v>
      </c>
      <c r="B39" s="648"/>
      <c r="C39" s="244"/>
      <c r="D39" s="454">
        <f t="shared" si="2"/>
        <v>0</v>
      </c>
      <c r="E39" s="167">
        <v>61</v>
      </c>
      <c r="F39" s="651"/>
      <c r="G39" s="244"/>
      <c r="H39" s="552">
        <f t="shared" si="1"/>
        <v>0</v>
      </c>
    </row>
    <row r="40" spans="1:8" ht="19.5" customHeight="1" x14ac:dyDescent="0.2">
      <c r="A40" s="169">
        <v>31</v>
      </c>
      <c r="B40" s="648"/>
      <c r="C40" s="244"/>
      <c r="D40" s="454">
        <f t="shared" si="2"/>
        <v>0</v>
      </c>
      <c r="E40" s="167">
        <v>62</v>
      </c>
      <c r="F40" s="651"/>
      <c r="G40" s="244"/>
      <c r="H40" s="552">
        <f t="shared" si="1"/>
        <v>0</v>
      </c>
    </row>
    <row r="41" spans="1:8" ht="19.5" customHeight="1" thickBot="1" x14ac:dyDescent="0.25">
      <c r="A41" s="170">
        <v>32</v>
      </c>
      <c r="B41" s="649"/>
      <c r="C41" s="245"/>
      <c r="D41" s="454">
        <f t="shared" si="2"/>
        <v>0</v>
      </c>
      <c r="E41" s="167">
        <v>63</v>
      </c>
      <c r="F41" s="652"/>
      <c r="G41" s="245"/>
      <c r="H41" s="552">
        <f t="shared" si="1"/>
        <v>0</v>
      </c>
    </row>
    <row r="42" spans="1:8" ht="17.25" customHeight="1" thickBot="1" x14ac:dyDescent="0.25">
      <c r="A42" s="168"/>
      <c r="B42" s="989" t="s">
        <v>29</v>
      </c>
      <c r="C42" s="989"/>
      <c r="D42" s="163">
        <f>SUM(D10:D41)</f>
        <v>0</v>
      </c>
      <c r="E42" s="128"/>
      <c r="F42" s="990" t="s">
        <v>348</v>
      </c>
      <c r="G42" s="991"/>
      <c r="H42" s="242">
        <f>SUM(H10:H41)</f>
        <v>0</v>
      </c>
    </row>
  </sheetData>
  <sheetProtection sheet="1"/>
  <customSheetViews>
    <customSheetView guid="{B919D2EB-D122-4E25-8E52-25BE88B69D9E}" scale="90" showGridLines="0" zeroValues="0" topLeftCell="A13">
      <selection activeCell="Q59" sqref="Q59"/>
      <pageMargins left="0.48" right="0.39370078740157483" top="0.39370078740157483" bottom="0.19685039370078741" header="0.51181102362204722" footer="0.39370078740157483"/>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11">
    <mergeCell ref="B42:C42"/>
    <mergeCell ref="F42:G42"/>
    <mergeCell ref="G8:G9"/>
    <mergeCell ref="C8:C9"/>
    <mergeCell ref="F10:G10"/>
    <mergeCell ref="F3:H3"/>
    <mergeCell ref="A8:A9"/>
    <mergeCell ref="E8:E9"/>
    <mergeCell ref="B8:B9"/>
    <mergeCell ref="F8:F9"/>
    <mergeCell ref="F4:H5"/>
  </mergeCells>
  <phoneticPr fontId="16" type="noConversion"/>
  <pageMargins left="0.47244094488188981" right="0" top="0.39370078740157483" bottom="0.19685039370078741" header="0.51181102362204722" footer="0.39370078740157483"/>
  <pageSetup paperSize="9" orientation="portrait" blackAndWhite="1" r:id="rId2"/>
  <headerFooter alignWithMargins="0">
    <oddFooter>&amp;C&amp;8(C) Lerch Treuhand AG, Itingen</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96D14-BD83-4ABE-A9E5-CA8E75F202C5}">
  <sheetPr transitionEvaluation="1" transitionEntry="1" codeName="Tabelle7">
    <tabColor indexed="43"/>
  </sheetPr>
  <dimension ref="A1:N27"/>
  <sheetViews>
    <sheetView showGridLines="0" showZeros="0" zoomScaleNormal="100" workbookViewId="0">
      <selection activeCell="C2" sqref="C2"/>
    </sheetView>
  </sheetViews>
  <sheetFormatPr baseColWidth="10" defaultRowHeight="12.75" x14ac:dyDescent="0.2"/>
  <cols>
    <col min="1" max="1" width="2.5703125" customWidth="1"/>
    <col min="2" max="2" width="13.85546875" customWidth="1"/>
    <col min="3" max="3" width="6.7109375" customWidth="1"/>
    <col min="4" max="4" width="6.42578125" customWidth="1"/>
    <col min="5" max="5" width="8.42578125" customWidth="1"/>
    <col min="6" max="6" width="4.7109375" hidden="1" customWidth="1"/>
    <col min="7" max="7" width="9.7109375" customWidth="1"/>
    <col min="8" max="8" width="2.5703125" style="16" customWidth="1"/>
    <col min="9" max="9" width="13.7109375" customWidth="1"/>
    <col min="10" max="10" width="5.7109375" customWidth="1"/>
    <col min="11" max="11" width="7.28515625" customWidth="1"/>
    <col min="12" max="12" width="8.42578125" customWidth="1"/>
    <col min="13" max="13" width="4.7109375" hidden="1" customWidth="1"/>
    <col min="14" max="14" width="9.7109375" customWidth="1"/>
  </cols>
  <sheetData>
    <row r="1" spans="1:14" ht="23.25" x14ac:dyDescent="0.35">
      <c r="A1" s="760">
        <f>DECKBLATT!B14</f>
        <v>0</v>
      </c>
    </row>
    <row r="2" spans="1:14" ht="29.25" customHeight="1" x14ac:dyDescent="0.35">
      <c r="B2" s="211"/>
      <c r="C2" s="88"/>
      <c r="D2" s="88"/>
      <c r="I2" s="981"/>
      <c r="J2" s="981"/>
      <c r="K2" s="981"/>
      <c r="L2" s="981"/>
      <c r="M2" s="981"/>
      <c r="N2" s="981"/>
    </row>
    <row r="3" spans="1:14" ht="24" customHeight="1" x14ac:dyDescent="0.25">
      <c r="B3" s="19"/>
    </row>
    <row r="4" spans="1:14" ht="26.25" x14ac:dyDescent="0.4">
      <c r="A4" s="791" t="s">
        <v>408</v>
      </c>
      <c r="J4" s="988">
        <f>DECKBLATT!B11</f>
        <v>46022</v>
      </c>
      <c r="K4" s="988"/>
      <c r="L4" s="988"/>
      <c r="M4" s="988"/>
      <c r="N4" s="988"/>
    </row>
    <row r="5" spans="1:14" ht="23.25" x14ac:dyDescent="0.35">
      <c r="B5" s="22"/>
      <c r="F5" s="90" t="s">
        <v>273</v>
      </c>
      <c r="G5" s="794" t="s">
        <v>425</v>
      </c>
    </row>
    <row r="6" spans="1:14" ht="20.25" x14ac:dyDescent="0.3">
      <c r="A6" s="795" t="s">
        <v>492</v>
      </c>
      <c r="C6" s="795"/>
      <c r="D6" s="795"/>
      <c r="E6" s="795"/>
      <c r="F6" s="795"/>
      <c r="G6" s="14"/>
      <c r="H6" s="89"/>
      <c r="I6" s="89"/>
    </row>
    <row r="7" spans="1:14" ht="10.5" customHeight="1" x14ac:dyDescent="0.2">
      <c r="B7" s="10"/>
    </row>
    <row r="8" spans="1:14" x14ac:dyDescent="0.2">
      <c r="A8" s="1005" t="s">
        <v>276</v>
      </c>
      <c r="B8" s="996" t="s">
        <v>27</v>
      </c>
      <c r="C8" s="1009" t="s">
        <v>30</v>
      </c>
      <c r="D8" s="1010"/>
      <c r="E8" s="1011"/>
      <c r="F8" s="173" t="s">
        <v>316</v>
      </c>
      <c r="G8" s="992" t="s">
        <v>340</v>
      </c>
      <c r="H8" s="1007" t="s">
        <v>276</v>
      </c>
      <c r="I8" s="1001" t="s">
        <v>27</v>
      </c>
      <c r="J8" s="1009" t="s">
        <v>30</v>
      </c>
      <c r="K8" s="1010"/>
      <c r="L8" s="1011"/>
      <c r="M8" s="207" t="s">
        <v>316</v>
      </c>
      <c r="N8" s="992" t="s">
        <v>340</v>
      </c>
    </row>
    <row r="9" spans="1:14" ht="33" customHeight="1" x14ac:dyDescent="0.2">
      <c r="A9" s="1006"/>
      <c r="B9" s="997"/>
      <c r="C9" s="166" t="s">
        <v>31</v>
      </c>
      <c r="D9" s="166" t="s">
        <v>32</v>
      </c>
      <c r="E9" s="166" t="s">
        <v>538</v>
      </c>
      <c r="F9" s="174" t="s">
        <v>317</v>
      </c>
      <c r="G9" s="993"/>
      <c r="H9" s="1008"/>
      <c r="I9" s="1002"/>
      <c r="J9" s="166" t="s">
        <v>31</v>
      </c>
      <c r="K9" s="166" t="s">
        <v>32</v>
      </c>
      <c r="L9" s="166" t="s">
        <v>538</v>
      </c>
      <c r="M9" s="175" t="s">
        <v>317</v>
      </c>
      <c r="N9" s="993"/>
    </row>
    <row r="10" spans="1:14" ht="18" customHeight="1" x14ac:dyDescent="0.2">
      <c r="A10" s="156">
        <v>1</v>
      </c>
      <c r="B10" s="653"/>
      <c r="C10" s="654"/>
      <c r="D10" s="654"/>
      <c r="E10" s="654"/>
      <c r="F10" s="439" t="e">
        <f t="shared" ref="F10:F25" si="0">DATE(E10,D10,C10)</f>
        <v>#NUM!</v>
      </c>
      <c r="G10" s="783">
        <f>IF(B10="falsch",0,LOOKUP(F10,'Richtzahlen RV'!$B$2:$B$87,'Richtzahlen RV'!$C$2:$C$87))</f>
        <v>0</v>
      </c>
      <c r="H10" s="440"/>
      <c r="I10" s="998" t="s">
        <v>29</v>
      </c>
      <c r="J10" s="999"/>
      <c r="K10" s="999"/>
      <c r="L10" s="1000"/>
      <c r="M10" s="176"/>
      <c r="N10" s="445">
        <f>G26</f>
        <v>0</v>
      </c>
    </row>
    <row r="11" spans="1:14" ht="18" customHeight="1" x14ac:dyDescent="0.2">
      <c r="A11" s="210">
        <v>2</v>
      </c>
      <c r="B11" s="655"/>
      <c r="C11" s="656"/>
      <c r="D11" s="656"/>
      <c r="E11" s="656"/>
      <c r="F11" s="246" t="e">
        <f t="shared" si="0"/>
        <v>#NUM!</v>
      </c>
      <c r="G11" s="783">
        <f>IF(B11="falsch",0,LOOKUP(F11,'Richtzahlen RV'!$B$2:$B$87,'Richtzahlen RV'!$C$2:$C$87))</f>
        <v>0</v>
      </c>
      <c r="H11" s="179">
        <v>17</v>
      </c>
      <c r="I11" s="653"/>
      <c r="J11" s="654"/>
      <c r="K11" s="654"/>
      <c r="L11" s="654"/>
      <c r="M11" s="248" t="e">
        <f>DATE(L11,K11,J11)</f>
        <v>#NUM!</v>
      </c>
      <c r="N11" s="444">
        <f>IF(I11="falsch",0,LOOKUP(M11,'Richtzahlen RV'!$B$2:$B$87,'Richtzahlen RV'!$C$2:$C$87))</f>
        <v>0</v>
      </c>
    </row>
    <row r="12" spans="1:14" ht="18" customHeight="1" x14ac:dyDescent="0.2">
      <c r="A12" s="210">
        <v>3</v>
      </c>
      <c r="B12" s="655"/>
      <c r="C12" s="656"/>
      <c r="D12" s="656"/>
      <c r="E12" s="656"/>
      <c r="F12" s="246" t="e">
        <f t="shared" si="0"/>
        <v>#NUM!</v>
      </c>
      <c r="G12" s="783">
        <f>IF(B12="falsch",0,LOOKUP(F12,'Richtzahlen RV'!$B$2:$B$87,'Richtzahlen RV'!$C$2:$C$87))</f>
        <v>0</v>
      </c>
      <c r="H12" s="179">
        <v>18</v>
      </c>
      <c r="I12" s="655"/>
      <c r="J12" s="656"/>
      <c r="K12" s="656"/>
      <c r="L12" s="656"/>
      <c r="M12" s="249" t="e">
        <f t="shared" ref="M12:M25" si="1">DATE(L12,K12,J12)</f>
        <v>#NUM!</v>
      </c>
      <c r="N12" s="444">
        <f>IF(I12="falsch",0,LOOKUP(M12,'Richtzahlen RV'!$B$2:$B$87,'Richtzahlen RV'!$C$2:$C$87))</f>
        <v>0</v>
      </c>
    </row>
    <row r="13" spans="1:14" ht="18" customHeight="1" x14ac:dyDescent="0.2">
      <c r="A13" s="210">
        <v>4</v>
      </c>
      <c r="B13" s="655"/>
      <c r="C13" s="656"/>
      <c r="D13" s="656"/>
      <c r="E13" s="656"/>
      <c r="F13" s="246" t="e">
        <f t="shared" si="0"/>
        <v>#NUM!</v>
      </c>
      <c r="G13" s="783">
        <f>IF(B13="falsch",0,LOOKUP(F13,'Richtzahlen RV'!$B$2:$B$87,'Richtzahlen RV'!$C$2:$C$87))</f>
        <v>0</v>
      </c>
      <c r="H13" s="179">
        <v>19</v>
      </c>
      <c r="I13" s="655"/>
      <c r="J13" s="656"/>
      <c r="K13" s="656"/>
      <c r="L13" s="656"/>
      <c r="M13" s="249" t="e">
        <f t="shared" si="1"/>
        <v>#NUM!</v>
      </c>
      <c r="N13" s="444">
        <f>IF(I13="falsch",0,LOOKUP(M13,'Richtzahlen RV'!$B$2:$B$87,'Richtzahlen RV'!$C$2:$C$87))</f>
        <v>0</v>
      </c>
    </row>
    <row r="14" spans="1:14" ht="18" customHeight="1" x14ac:dyDescent="0.2">
      <c r="A14" s="210">
        <v>5</v>
      </c>
      <c r="B14" s="655"/>
      <c r="C14" s="656"/>
      <c r="D14" s="656"/>
      <c r="E14" s="656"/>
      <c r="F14" s="246" t="e">
        <f t="shared" si="0"/>
        <v>#NUM!</v>
      </c>
      <c r="G14" s="783">
        <f>IF(B14="falsch",0,LOOKUP(F14,'Richtzahlen RV'!$B$2:$B$87,'Richtzahlen RV'!$C$2:$C$87))</f>
        <v>0</v>
      </c>
      <c r="H14" s="179">
        <v>20</v>
      </c>
      <c r="I14" s="655"/>
      <c r="J14" s="656"/>
      <c r="K14" s="656"/>
      <c r="L14" s="656"/>
      <c r="M14" s="249" t="e">
        <f t="shared" si="1"/>
        <v>#NUM!</v>
      </c>
      <c r="N14" s="444">
        <f>IF(I14="falsch",0,LOOKUP(M14,'Richtzahlen RV'!$B$2:$B$87,'Richtzahlen RV'!$C$2:$C$87))</f>
        <v>0</v>
      </c>
    </row>
    <row r="15" spans="1:14" ht="18" customHeight="1" x14ac:dyDescent="0.2">
      <c r="A15" s="210">
        <v>6</v>
      </c>
      <c r="B15" s="655"/>
      <c r="C15" s="656"/>
      <c r="D15" s="656"/>
      <c r="E15" s="656"/>
      <c r="F15" s="246" t="e">
        <f t="shared" si="0"/>
        <v>#NUM!</v>
      </c>
      <c r="G15" s="783">
        <f>IF(B15="falsch",0,LOOKUP(F15,'Richtzahlen RV'!$B$2:$B$87,'Richtzahlen RV'!$C$2:$C$87))</f>
        <v>0</v>
      </c>
      <c r="H15" s="179">
        <v>21</v>
      </c>
      <c r="I15" s="655"/>
      <c r="J15" s="656"/>
      <c r="K15" s="656"/>
      <c r="L15" s="656"/>
      <c r="M15" s="249" t="e">
        <f t="shared" si="1"/>
        <v>#NUM!</v>
      </c>
      <c r="N15" s="444">
        <f>IF(I15="falsch",0,LOOKUP(M15,'Richtzahlen RV'!$B$2:$B$87,'Richtzahlen RV'!$C$2:$C$87))</f>
        <v>0</v>
      </c>
    </row>
    <row r="16" spans="1:14" ht="18" customHeight="1" x14ac:dyDescent="0.2">
      <c r="A16" s="210">
        <v>7</v>
      </c>
      <c r="B16" s="655"/>
      <c r="C16" s="656"/>
      <c r="D16" s="656"/>
      <c r="E16" s="656"/>
      <c r="F16" s="246" t="e">
        <f t="shared" si="0"/>
        <v>#NUM!</v>
      </c>
      <c r="G16" s="783">
        <f>IF(B16="falsch",0,LOOKUP(F16,'Richtzahlen RV'!$B$2:$B$87,'Richtzahlen RV'!$C$2:$C$87))</f>
        <v>0</v>
      </c>
      <c r="H16" s="179">
        <v>22</v>
      </c>
      <c r="I16" s="655"/>
      <c r="J16" s="656"/>
      <c r="K16" s="656"/>
      <c r="L16" s="656"/>
      <c r="M16" s="249" t="e">
        <f t="shared" si="1"/>
        <v>#NUM!</v>
      </c>
      <c r="N16" s="444">
        <f>IF(I16="falsch",0,LOOKUP(M16,'Richtzahlen RV'!$B$2:$B$87,'Richtzahlen RV'!$C$2:$C$87))</f>
        <v>0</v>
      </c>
    </row>
    <row r="17" spans="1:14" ht="18" customHeight="1" x14ac:dyDescent="0.2">
      <c r="A17" s="210">
        <v>8</v>
      </c>
      <c r="B17" s="655"/>
      <c r="C17" s="656"/>
      <c r="D17" s="656"/>
      <c r="E17" s="656"/>
      <c r="F17" s="246" t="e">
        <f t="shared" si="0"/>
        <v>#NUM!</v>
      </c>
      <c r="G17" s="783">
        <f>IF(B17="falsch",0,LOOKUP(F17,'Richtzahlen RV'!$B$2:$B$87,'Richtzahlen RV'!$C$2:$C$87))</f>
        <v>0</v>
      </c>
      <c r="H17" s="179">
        <v>23</v>
      </c>
      <c r="I17" s="655"/>
      <c r="J17" s="656"/>
      <c r="K17" s="656"/>
      <c r="L17" s="656"/>
      <c r="M17" s="249" t="e">
        <f t="shared" si="1"/>
        <v>#NUM!</v>
      </c>
      <c r="N17" s="444">
        <f>IF(I17="falsch",0,LOOKUP(M17,'Richtzahlen RV'!$B$2:$B$87,'Richtzahlen RV'!$C$2:$C$87))</f>
        <v>0</v>
      </c>
    </row>
    <row r="18" spans="1:14" ht="18" customHeight="1" x14ac:dyDescent="0.2">
      <c r="A18" s="210">
        <v>9</v>
      </c>
      <c r="B18" s="655"/>
      <c r="C18" s="656"/>
      <c r="D18" s="656"/>
      <c r="E18" s="656"/>
      <c r="F18" s="246" t="e">
        <f t="shared" si="0"/>
        <v>#NUM!</v>
      </c>
      <c r="G18" s="783">
        <f>IF(B18="falsch",0,LOOKUP(F18,'Richtzahlen RV'!$B$2:$B$87,'Richtzahlen RV'!$C$2:$C$87))</f>
        <v>0</v>
      </c>
      <c r="H18" s="179">
        <v>24</v>
      </c>
      <c r="I18" s="655"/>
      <c r="J18" s="656"/>
      <c r="K18" s="656"/>
      <c r="L18" s="656"/>
      <c r="M18" s="249" t="e">
        <f t="shared" si="1"/>
        <v>#NUM!</v>
      </c>
      <c r="N18" s="444">
        <f>IF(I18="falsch",0,LOOKUP(M18,'Richtzahlen RV'!$B$2:$B$87,'Richtzahlen RV'!$C$2:$C$87))</f>
        <v>0</v>
      </c>
    </row>
    <row r="19" spans="1:14" ht="18" customHeight="1" x14ac:dyDescent="0.2">
      <c r="A19" s="210">
        <v>10</v>
      </c>
      <c r="B19" s="655"/>
      <c r="C19" s="656"/>
      <c r="D19" s="656"/>
      <c r="E19" s="656"/>
      <c r="F19" s="246" t="e">
        <f t="shared" si="0"/>
        <v>#NUM!</v>
      </c>
      <c r="G19" s="783">
        <f>IF(B19="falsch",0,LOOKUP(F19,'Richtzahlen RV'!$B$2:$B$87,'Richtzahlen RV'!$C$2:$C$87))</f>
        <v>0</v>
      </c>
      <c r="H19" s="179">
        <v>25</v>
      </c>
      <c r="I19" s="655"/>
      <c r="J19" s="656"/>
      <c r="K19" s="656"/>
      <c r="L19" s="656"/>
      <c r="M19" s="249" t="e">
        <f t="shared" si="1"/>
        <v>#NUM!</v>
      </c>
      <c r="N19" s="444">
        <f>IF(I19="falsch",0,LOOKUP(M19,'Richtzahlen RV'!$B$2:$B$87,'Richtzahlen RV'!$C$2:$C$87))</f>
        <v>0</v>
      </c>
    </row>
    <row r="20" spans="1:14" ht="18" customHeight="1" x14ac:dyDescent="0.2">
      <c r="A20" s="210">
        <v>11</v>
      </c>
      <c r="B20" s="655"/>
      <c r="C20" s="656"/>
      <c r="D20" s="656"/>
      <c r="E20" s="656"/>
      <c r="F20" s="246" t="e">
        <f t="shared" si="0"/>
        <v>#NUM!</v>
      </c>
      <c r="G20" s="783">
        <f>IF(B20="falsch",0,LOOKUP(F20,'Richtzahlen RV'!$B$2:$B$87,'Richtzahlen RV'!$C$2:$C$87))</f>
        <v>0</v>
      </c>
      <c r="H20" s="179">
        <v>26</v>
      </c>
      <c r="I20" s="655"/>
      <c r="J20" s="656"/>
      <c r="K20" s="656"/>
      <c r="L20" s="656"/>
      <c r="M20" s="249" t="e">
        <f t="shared" si="1"/>
        <v>#NUM!</v>
      </c>
      <c r="N20" s="444">
        <f>IF(I20="falsch",0,LOOKUP(M20,'Richtzahlen RV'!$B$2:$B$87,'Richtzahlen RV'!$C$2:$C$87))</f>
        <v>0</v>
      </c>
    </row>
    <row r="21" spans="1:14" ht="18" customHeight="1" x14ac:dyDescent="0.2">
      <c r="A21" s="210">
        <v>12</v>
      </c>
      <c r="B21" s="655"/>
      <c r="C21" s="656"/>
      <c r="D21" s="656"/>
      <c r="E21" s="656"/>
      <c r="F21" s="246" t="e">
        <f t="shared" si="0"/>
        <v>#NUM!</v>
      </c>
      <c r="G21" s="783">
        <f>IF(B21="falsch",0,LOOKUP(F21,'Richtzahlen RV'!$B$2:$B$87,'Richtzahlen RV'!$C$2:$C$87))</f>
        <v>0</v>
      </c>
      <c r="H21" s="179">
        <v>27</v>
      </c>
      <c r="I21" s="655"/>
      <c r="J21" s="656"/>
      <c r="K21" s="656"/>
      <c r="L21" s="656"/>
      <c r="M21" s="249" t="e">
        <f t="shared" si="1"/>
        <v>#NUM!</v>
      </c>
      <c r="N21" s="444">
        <f>IF(I21="falsch",0,LOOKUP(M21,'Richtzahlen RV'!$B$2:$B$87,'Richtzahlen RV'!$C$2:$C$87))</f>
        <v>0</v>
      </c>
    </row>
    <row r="22" spans="1:14" ht="18" customHeight="1" x14ac:dyDescent="0.2">
      <c r="A22" s="210">
        <v>13</v>
      </c>
      <c r="B22" s="655"/>
      <c r="C22" s="656"/>
      <c r="D22" s="656"/>
      <c r="E22" s="656"/>
      <c r="F22" s="246" t="e">
        <f t="shared" si="0"/>
        <v>#NUM!</v>
      </c>
      <c r="G22" s="783">
        <f>IF(B22="falsch",0,LOOKUP(F22,'Richtzahlen RV'!$B$2:$B$87,'Richtzahlen RV'!$C$2:$C$87))</f>
        <v>0</v>
      </c>
      <c r="H22" s="179">
        <v>28</v>
      </c>
      <c r="I22" s="655"/>
      <c r="J22" s="656"/>
      <c r="K22" s="656"/>
      <c r="L22" s="656"/>
      <c r="M22" s="249" t="e">
        <f t="shared" si="1"/>
        <v>#NUM!</v>
      </c>
      <c r="N22" s="444">
        <f>IF(I22="falsch",0,LOOKUP(M22,'Richtzahlen RV'!$B$2:$B$87,'Richtzahlen RV'!$C$2:$C$87))</f>
        <v>0</v>
      </c>
    </row>
    <row r="23" spans="1:14" ht="18" customHeight="1" x14ac:dyDescent="0.2">
      <c r="A23" s="210">
        <v>14</v>
      </c>
      <c r="B23" s="655"/>
      <c r="C23" s="656"/>
      <c r="D23" s="656"/>
      <c r="E23" s="656"/>
      <c r="F23" s="246" t="e">
        <f t="shared" si="0"/>
        <v>#NUM!</v>
      </c>
      <c r="G23" s="783">
        <f>IF(B23="falsch",0,LOOKUP(F23,'Richtzahlen RV'!$B$2:$B$87,'Richtzahlen RV'!$C$2:$C$87))</f>
        <v>0</v>
      </c>
      <c r="H23" s="179">
        <v>29</v>
      </c>
      <c r="I23" s="655"/>
      <c r="J23" s="656"/>
      <c r="K23" s="656"/>
      <c r="L23" s="656"/>
      <c r="M23" s="249" t="e">
        <f t="shared" si="1"/>
        <v>#NUM!</v>
      </c>
      <c r="N23" s="444">
        <f>IF(I23="falsch",0,LOOKUP(M23,'Richtzahlen RV'!$B$2:$B$87,'Richtzahlen RV'!$C$2:$C$87))</f>
        <v>0</v>
      </c>
    </row>
    <row r="24" spans="1:14" ht="18" customHeight="1" x14ac:dyDescent="0.2">
      <c r="A24" s="210">
        <v>15</v>
      </c>
      <c r="B24" s="655"/>
      <c r="C24" s="656"/>
      <c r="D24" s="656"/>
      <c r="E24" s="656"/>
      <c r="F24" s="246" t="e">
        <f t="shared" si="0"/>
        <v>#NUM!</v>
      </c>
      <c r="G24" s="783">
        <f>IF(B24="falsch",0,LOOKUP(F24,'Richtzahlen RV'!$B$2:$B$87,'Richtzahlen RV'!$C$2:$C$87))</f>
        <v>0</v>
      </c>
      <c r="H24" s="179">
        <v>30</v>
      </c>
      <c r="I24" s="655"/>
      <c r="J24" s="656"/>
      <c r="K24" s="656"/>
      <c r="L24" s="656"/>
      <c r="M24" s="249" t="e">
        <f t="shared" si="1"/>
        <v>#NUM!</v>
      </c>
      <c r="N24" s="444">
        <f>IF(I24="falsch",0,LOOKUP(M24,'Richtzahlen RV'!$B$2:$B$87,'Richtzahlen RV'!$C$2:$C$87))</f>
        <v>0</v>
      </c>
    </row>
    <row r="25" spans="1:14" ht="18" customHeight="1" thickBot="1" x14ac:dyDescent="0.25">
      <c r="A25" s="157">
        <v>16</v>
      </c>
      <c r="B25" s="655"/>
      <c r="C25" s="656"/>
      <c r="D25" s="656"/>
      <c r="E25" s="656"/>
      <c r="F25" s="247" t="e">
        <f t="shared" si="0"/>
        <v>#NUM!</v>
      </c>
      <c r="G25" s="783">
        <f>IF(B25="falsch",0,LOOKUP(F25,'Richtzahlen RV'!$B$2:$B$87,'Richtzahlen RV'!$C$2:$C$87))</f>
        <v>0</v>
      </c>
      <c r="H25" s="155">
        <v>31</v>
      </c>
      <c r="I25" s="655"/>
      <c r="J25" s="656"/>
      <c r="K25" s="656"/>
      <c r="L25" s="656"/>
      <c r="M25" s="250" t="e">
        <f t="shared" si="1"/>
        <v>#NUM!</v>
      </c>
      <c r="N25" s="444">
        <f>IF(I25="falsch",0,LOOKUP(M25,'Richtzahlen RV'!$B$2:$B$87,'Richtzahlen RV'!$C$2:$C$87))</f>
        <v>0</v>
      </c>
    </row>
    <row r="26" spans="1:14" ht="18" customHeight="1" thickBot="1" x14ac:dyDescent="0.25">
      <c r="A26" s="212"/>
      <c r="B26" s="989" t="s">
        <v>29</v>
      </c>
      <c r="C26" s="989"/>
      <c r="D26" s="989"/>
      <c r="E26" s="995"/>
      <c r="F26" s="177"/>
      <c r="G26" s="445">
        <f>SUM(G10:G25)</f>
        <v>0</v>
      </c>
      <c r="H26" s="213"/>
      <c r="I26" s="158" t="s">
        <v>36</v>
      </c>
      <c r="J26" s="1003" t="s">
        <v>18</v>
      </c>
      <c r="K26" s="1003"/>
      <c r="L26" s="1004"/>
      <c r="M26" s="141"/>
      <c r="N26" s="242">
        <f>SUM(N10:N25)</f>
        <v>0</v>
      </c>
    </row>
    <row r="27" spans="1:14" ht="10.5" customHeight="1" x14ac:dyDescent="0.2">
      <c r="B27" s="6"/>
    </row>
  </sheetData>
  <sheetProtection sheet="1"/>
  <customSheetViews>
    <customSheetView guid="{B919D2EB-D122-4E25-8E52-25BE88B69D9E}" scale="90" showGridLines="0" zeroValues="0" hiddenColumns="1">
      <selection activeCell="Q59" sqref="Q59"/>
      <pageMargins left="0.66" right="0.23622047244094491" top="0.39370078740157483" bottom="0.19685039370078741" header="0.43307086614173229" footer="0.1968503937007874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13">
    <mergeCell ref="A8:A9"/>
    <mergeCell ref="H8:H9"/>
    <mergeCell ref="C8:E8"/>
    <mergeCell ref="J4:N4"/>
    <mergeCell ref="N8:N9"/>
    <mergeCell ref="J8:L8"/>
    <mergeCell ref="I2:N2"/>
    <mergeCell ref="B26:E26"/>
    <mergeCell ref="B8:B9"/>
    <mergeCell ref="I10:L10"/>
    <mergeCell ref="G8:G9"/>
    <mergeCell ref="I8:I9"/>
    <mergeCell ref="J26:L26"/>
  </mergeCells>
  <phoneticPr fontId="16" type="noConversion"/>
  <pageMargins left="0.6692913385826772" right="3.937007874015748E-2" top="0.39370078740157483" bottom="0.19685039370078741" header="0.43307086614173229" footer="0.19685039370078741"/>
  <pageSetup paperSize="9" orientation="portrait" blackAndWhite="1" r:id="rId2"/>
  <headerFooter alignWithMargins="0">
    <oddFooter>&amp;C&amp;8(C) Lerch Treuhand AG, Itingen</odd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AE86D-41BC-424E-89C5-693C9E659572}">
  <sheetPr transitionEvaluation="1" transitionEntry="1" codeName="Tabelle20">
    <tabColor indexed="43"/>
    <pageSetUpPr fitToPage="1"/>
  </sheetPr>
  <dimension ref="A1:H36"/>
  <sheetViews>
    <sheetView showGridLines="0" showZeros="0" zoomScaleNormal="100" workbookViewId="0">
      <selection activeCell="K19" sqref="K19"/>
    </sheetView>
  </sheetViews>
  <sheetFormatPr baseColWidth="10" defaultRowHeight="12.75" x14ac:dyDescent="0.2"/>
  <cols>
    <col min="1" max="1" width="2.5703125" customWidth="1"/>
    <col min="2" max="2" width="29.28515625" customWidth="1"/>
    <col min="3" max="3" width="12.85546875" customWidth="1"/>
    <col min="4" max="4" width="6" customWidth="1"/>
    <col min="5" max="5" width="13.42578125" customWidth="1"/>
    <col min="6" max="6" width="18.42578125" customWidth="1"/>
    <col min="7" max="7" width="22.5703125" customWidth="1"/>
  </cols>
  <sheetData>
    <row r="1" spans="1:8" ht="23.25" x14ac:dyDescent="0.35">
      <c r="A1" s="760">
        <f>DECKBLATT!B14</f>
        <v>0</v>
      </c>
    </row>
    <row r="2" spans="1:8" ht="36" customHeight="1" x14ac:dyDescent="0.35">
      <c r="B2" s="211"/>
      <c r="C2" s="88"/>
      <c r="F2" s="981"/>
      <c r="G2" s="981"/>
    </row>
    <row r="3" spans="1:8" ht="24" customHeight="1" x14ac:dyDescent="0.25">
      <c r="B3" s="19"/>
    </row>
    <row r="4" spans="1:8" ht="26.25" x14ac:dyDescent="0.4">
      <c r="A4" s="791" t="s">
        <v>408</v>
      </c>
      <c r="F4" s="988">
        <f>DECKBLATT!B11</f>
        <v>46022</v>
      </c>
      <c r="G4" s="988"/>
    </row>
    <row r="5" spans="1:8" ht="23.25" x14ac:dyDescent="0.35">
      <c r="B5" s="22"/>
      <c r="E5" s="794" t="s">
        <v>425</v>
      </c>
    </row>
    <row r="6" spans="1:8" ht="10.5" customHeight="1" x14ac:dyDescent="0.2">
      <c r="B6" s="6"/>
    </row>
    <row r="7" spans="1:8" ht="20.25" x14ac:dyDescent="0.3">
      <c r="B7" s="539" t="s">
        <v>478</v>
      </c>
    </row>
    <row r="8" spans="1:8" ht="8.25" customHeight="1" thickBot="1" x14ac:dyDescent="0.25">
      <c r="B8" s="23"/>
    </row>
    <row r="9" spans="1:8" ht="13.5" customHeight="1" x14ac:dyDescent="0.2">
      <c r="B9" s="918" t="s">
        <v>33</v>
      </c>
      <c r="C9" s="916" t="s">
        <v>34</v>
      </c>
      <c r="D9" s="918" t="s">
        <v>484</v>
      </c>
      <c r="E9" s="920"/>
      <c r="F9" s="916" t="s">
        <v>485</v>
      </c>
      <c r="G9" s="920" t="s">
        <v>340</v>
      </c>
    </row>
    <row r="10" spans="1:8" ht="21.75" customHeight="1" thickBot="1" x14ac:dyDescent="0.25">
      <c r="B10" s="921"/>
      <c r="C10" s="917"/>
      <c r="D10" s="921" t="s">
        <v>488</v>
      </c>
      <c r="E10" s="923"/>
      <c r="F10" s="917"/>
      <c r="G10" s="923"/>
    </row>
    <row r="11" spans="1:8" ht="18" customHeight="1" x14ac:dyDescent="0.2">
      <c r="B11" s="832"/>
      <c r="C11" s="833"/>
      <c r="D11" s="834" t="s">
        <v>22</v>
      </c>
      <c r="E11" s="835"/>
      <c r="F11" s="836">
        <f>IF(B11="falsch",0,LOOKUP(E11,Richtpreise!$E$4:$E$60,Richtpreise!$F$4:$F$60))</f>
        <v>0</v>
      </c>
      <c r="G11" s="828">
        <f>C11*F11</f>
        <v>0</v>
      </c>
      <c r="H11" s="814"/>
    </row>
    <row r="12" spans="1:8" ht="18" customHeight="1" x14ac:dyDescent="0.2">
      <c r="B12" s="807"/>
      <c r="C12" s="809"/>
      <c r="D12" s="806" t="s">
        <v>22</v>
      </c>
      <c r="E12" s="812"/>
      <c r="F12" s="831">
        <f>IF(B12="falsch",0,LOOKUP(E12,Richtpreise!$E$4:$E$60,Richtpreise!$F$4:$F$60))</f>
        <v>0</v>
      </c>
      <c r="G12" s="828">
        <f t="shared" ref="G12:G35" si="0">C12*F12</f>
        <v>0</v>
      </c>
    </row>
    <row r="13" spans="1:8" ht="18" customHeight="1" x14ac:dyDescent="0.2">
      <c r="B13" s="807"/>
      <c r="C13" s="809"/>
      <c r="D13" s="806" t="s">
        <v>22</v>
      </c>
      <c r="E13" s="812"/>
      <c r="F13" s="831">
        <f>IF(B13="falsch",0,LOOKUP(E13,Richtpreise!$E$4:$E$60,Richtpreise!$F$4:$F$60))</f>
        <v>0</v>
      </c>
      <c r="G13" s="828">
        <f t="shared" si="0"/>
        <v>0</v>
      </c>
    </row>
    <row r="14" spans="1:8" ht="18" customHeight="1" x14ac:dyDescent="0.2">
      <c r="B14" s="807"/>
      <c r="C14" s="809"/>
      <c r="D14" s="806" t="s">
        <v>22</v>
      </c>
      <c r="E14" s="812"/>
      <c r="F14" s="831">
        <f>IF(B14="falsch",0,LOOKUP(E14,Richtpreise!$E$4:$E$60,Richtpreise!$F$4:$F$60))</f>
        <v>0</v>
      </c>
      <c r="G14" s="828">
        <f t="shared" si="0"/>
        <v>0</v>
      </c>
    </row>
    <row r="15" spans="1:8" ht="18" customHeight="1" x14ac:dyDescent="0.2">
      <c r="B15" s="807"/>
      <c r="C15" s="809"/>
      <c r="D15" s="806" t="s">
        <v>22</v>
      </c>
      <c r="E15" s="812"/>
      <c r="F15" s="831">
        <f>IF(B15="falsch",0,LOOKUP(E15,Richtpreise!$E$4:$E$60,Richtpreise!$F$4:$F$60))</f>
        <v>0</v>
      </c>
      <c r="G15" s="828">
        <f t="shared" si="0"/>
        <v>0</v>
      </c>
    </row>
    <row r="16" spans="1:8" ht="18" customHeight="1" x14ac:dyDescent="0.2">
      <c r="B16" s="807"/>
      <c r="C16" s="809"/>
      <c r="D16" s="806" t="s">
        <v>22</v>
      </c>
      <c r="E16" s="812"/>
      <c r="F16" s="831">
        <f>IF(B16="falsch",0,LOOKUP(E16,Richtpreise!$E$4:$E$60,Richtpreise!$F$4:$F$60))</f>
        <v>0</v>
      </c>
      <c r="G16" s="828">
        <f t="shared" si="0"/>
        <v>0</v>
      </c>
    </row>
    <row r="17" spans="2:7" ht="18" customHeight="1" x14ac:dyDescent="0.2">
      <c r="B17" s="807"/>
      <c r="C17" s="809"/>
      <c r="D17" s="806" t="s">
        <v>22</v>
      </c>
      <c r="E17" s="812"/>
      <c r="F17" s="831">
        <f>IF(B17="falsch",0,LOOKUP(E17,Richtpreise!$E$4:$E$60,Richtpreise!$F$4:$F$60))</f>
        <v>0</v>
      </c>
      <c r="G17" s="828">
        <f t="shared" si="0"/>
        <v>0</v>
      </c>
    </row>
    <row r="18" spans="2:7" ht="18" customHeight="1" x14ac:dyDescent="0.2">
      <c r="B18" s="807"/>
      <c r="C18" s="809"/>
      <c r="D18" s="806" t="s">
        <v>22</v>
      </c>
      <c r="E18" s="812"/>
      <c r="F18" s="831">
        <f>IF(B18="falsch",0,LOOKUP(E18,Richtpreise!$E$4:$E$60,Richtpreise!$F$4:$F$60))</f>
        <v>0</v>
      </c>
      <c r="G18" s="828">
        <f t="shared" si="0"/>
        <v>0</v>
      </c>
    </row>
    <row r="19" spans="2:7" ht="18" customHeight="1" x14ac:dyDescent="0.2">
      <c r="B19" s="807"/>
      <c r="C19" s="809"/>
      <c r="D19" s="806" t="s">
        <v>22</v>
      </c>
      <c r="E19" s="812"/>
      <c r="F19" s="831">
        <f>IF(B19="falsch",0,LOOKUP(E19,Richtpreise!$E$4:$E$60,Richtpreise!$F$4:$F$60))</f>
        <v>0</v>
      </c>
      <c r="G19" s="828">
        <f t="shared" si="0"/>
        <v>0</v>
      </c>
    </row>
    <row r="20" spans="2:7" ht="18" customHeight="1" x14ac:dyDescent="0.2">
      <c r="B20" s="807"/>
      <c r="C20" s="809"/>
      <c r="D20" s="806" t="s">
        <v>22</v>
      </c>
      <c r="E20" s="812"/>
      <c r="F20" s="831">
        <f>IF(B20="falsch",0,LOOKUP(E20,Richtpreise!$E$4:$E$60,Richtpreise!$F$4:$F$60))</f>
        <v>0</v>
      </c>
      <c r="G20" s="828">
        <f t="shared" si="0"/>
        <v>0</v>
      </c>
    </row>
    <row r="21" spans="2:7" ht="18" customHeight="1" x14ac:dyDescent="0.2">
      <c r="B21" s="807"/>
      <c r="C21" s="809"/>
      <c r="D21" s="806" t="s">
        <v>22</v>
      </c>
      <c r="E21" s="812"/>
      <c r="F21" s="831">
        <f>IF(B21="falsch",0,LOOKUP(E21,Richtpreise!$E$4:$E$60,Richtpreise!$F$4:$F$60))</f>
        <v>0</v>
      </c>
      <c r="G21" s="828">
        <f t="shared" si="0"/>
        <v>0</v>
      </c>
    </row>
    <row r="22" spans="2:7" ht="18" customHeight="1" x14ac:dyDescent="0.2">
      <c r="B22" s="807"/>
      <c r="C22" s="809"/>
      <c r="D22" s="806" t="s">
        <v>22</v>
      </c>
      <c r="E22" s="812"/>
      <c r="F22" s="831">
        <f>IF(B22="falsch",0,LOOKUP(E22,Richtpreise!$E$4:$E$60,Richtpreise!$F$4:$F$60))</f>
        <v>0</v>
      </c>
      <c r="G22" s="828">
        <f t="shared" si="0"/>
        <v>0</v>
      </c>
    </row>
    <row r="23" spans="2:7" ht="18" customHeight="1" x14ac:dyDescent="0.2">
      <c r="B23" s="807"/>
      <c r="C23" s="809"/>
      <c r="D23" s="806" t="s">
        <v>22</v>
      </c>
      <c r="E23" s="812"/>
      <c r="F23" s="831">
        <f>IF(B23="falsch",0,LOOKUP(E23,Richtpreise!$E$4:$E$60,Richtpreise!$F$4:$F$60))</f>
        <v>0</v>
      </c>
      <c r="G23" s="828">
        <f t="shared" si="0"/>
        <v>0</v>
      </c>
    </row>
    <row r="24" spans="2:7" ht="18" customHeight="1" x14ac:dyDescent="0.2">
      <c r="B24" s="807"/>
      <c r="C24" s="809"/>
      <c r="D24" s="806" t="s">
        <v>22</v>
      </c>
      <c r="E24" s="812"/>
      <c r="F24" s="831">
        <f>IF(B24="falsch",0,LOOKUP(E24,Richtpreise!$E$4:$E$60,Richtpreise!$F$4:$F$60))</f>
        <v>0</v>
      </c>
      <c r="G24" s="828">
        <f t="shared" si="0"/>
        <v>0</v>
      </c>
    </row>
    <row r="25" spans="2:7" ht="18" customHeight="1" x14ac:dyDescent="0.2">
      <c r="B25" s="807"/>
      <c r="C25" s="809"/>
      <c r="D25" s="806" t="s">
        <v>22</v>
      </c>
      <c r="E25" s="812"/>
      <c r="F25" s="831">
        <f>IF(B25="falsch",0,LOOKUP(E25,Richtpreise!$E$4:$E$60,Richtpreise!$F$4:$F$60))</f>
        <v>0</v>
      </c>
      <c r="G25" s="828">
        <f t="shared" si="0"/>
        <v>0</v>
      </c>
    </row>
    <row r="26" spans="2:7" ht="18" customHeight="1" x14ac:dyDescent="0.2">
      <c r="B26" s="807"/>
      <c r="C26" s="809"/>
      <c r="D26" s="806" t="s">
        <v>22</v>
      </c>
      <c r="E26" s="812"/>
      <c r="F26" s="831">
        <f>IF(B26="falsch",0,LOOKUP(E26,Richtpreise!$E$4:$E$60,Richtpreise!$F$4:$F$60))</f>
        <v>0</v>
      </c>
      <c r="G26" s="828">
        <f t="shared" si="0"/>
        <v>0</v>
      </c>
    </row>
    <row r="27" spans="2:7" ht="18" customHeight="1" x14ac:dyDescent="0.2">
      <c r="B27" s="807"/>
      <c r="C27" s="809"/>
      <c r="D27" s="806" t="s">
        <v>22</v>
      </c>
      <c r="E27" s="812"/>
      <c r="F27" s="831">
        <f>IF(B27="falsch",0,LOOKUP(E27,Richtpreise!$E$4:$E$60,Richtpreise!$F$4:$F$60))</f>
        <v>0</v>
      </c>
      <c r="G27" s="828">
        <f t="shared" si="0"/>
        <v>0</v>
      </c>
    </row>
    <row r="28" spans="2:7" ht="18" customHeight="1" x14ac:dyDescent="0.2">
      <c r="B28" s="807"/>
      <c r="C28" s="809"/>
      <c r="D28" s="806" t="s">
        <v>22</v>
      </c>
      <c r="E28" s="812"/>
      <c r="F28" s="831">
        <f>IF(B28="falsch",0,LOOKUP(E28,Richtpreise!$E$4:$E$60,Richtpreise!$F$4:$F$60))</f>
        <v>0</v>
      </c>
      <c r="G28" s="828">
        <f t="shared" si="0"/>
        <v>0</v>
      </c>
    </row>
    <row r="29" spans="2:7" ht="18" customHeight="1" x14ac:dyDescent="0.2">
      <c r="B29" s="807"/>
      <c r="C29" s="809"/>
      <c r="D29" s="806" t="s">
        <v>22</v>
      </c>
      <c r="E29" s="812"/>
      <c r="F29" s="831">
        <f>IF(B29="falsch",0,LOOKUP(E29,Richtpreise!$E$4:$E$60,Richtpreise!$F$4:$F$60))</f>
        <v>0</v>
      </c>
      <c r="G29" s="828">
        <f t="shared" si="0"/>
        <v>0</v>
      </c>
    </row>
    <row r="30" spans="2:7" ht="18" customHeight="1" x14ac:dyDescent="0.2">
      <c r="B30" s="807"/>
      <c r="C30" s="809"/>
      <c r="D30" s="806" t="s">
        <v>22</v>
      </c>
      <c r="E30" s="812"/>
      <c r="F30" s="831">
        <f>IF(B30="falsch",0,LOOKUP(E30,Richtpreise!$E$4:$E$60,Richtpreise!$F$4:$F$60))</f>
        <v>0</v>
      </c>
      <c r="G30" s="828">
        <f t="shared" si="0"/>
        <v>0</v>
      </c>
    </row>
    <row r="31" spans="2:7" ht="18" customHeight="1" x14ac:dyDescent="0.2">
      <c r="B31" s="807"/>
      <c r="C31" s="809"/>
      <c r="D31" s="806" t="s">
        <v>22</v>
      </c>
      <c r="E31" s="812"/>
      <c r="F31" s="831">
        <f>IF(B31="falsch",0,LOOKUP(E31,Richtpreise!$E$4:$E$60,Richtpreise!$F$4:$F$60))</f>
        <v>0</v>
      </c>
      <c r="G31" s="828">
        <f t="shared" si="0"/>
        <v>0</v>
      </c>
    </row>
    <row r="32" spans="2:7" ht="18" customHeight="1" x14ac:dyDescent="0.2">
      <c r="B32" s="807"/>
      <c r="C32" s="809"/>
      <c r="D32" s="806" t="s">
        <v>22</v>
      </c>
      <c r="E32" s="812"/>
      <c r="F32" s="831">
        <f>IF(B32="falsch",0,LOOKUP(E32,Richtpreise!$E$4:$E$60,Richtpreise!$F$4:$F$60))</f>
        <v>0</v>
      </c>
      <c r="G32" s="828">
        <f t="shared" si="0"/>
        <v>0</v>
      </c>
    </row>
    <row r="33" spans="2:7" ht="18" customHeight="1" x14ac:dyDescent="0.2">
      <c r="B33" s="807"/>
      <c r="C33" s="809"/>
      <c r="D33" s="806" t="s">
        <v>22</v>
      </c>
      <c r="E33" s="812"/>
      <c r="F33" s="831">
        <f>IF(B33="falsch",0,LOOKUP(E33,Richtpreise!$E$4:$E$60,Richtpreise!$F$4:$F$60))</f>
        <v>0</v>
      </c>
      <c r="G33" s="828">
        <f t="shared" si="0"/>
        <v>0</v>
      </c>
    </row>
    <row r="34" spans="2:7" ht="18" customHeight="1" x14ac:dyDescent="0.2">
      <c r="B34" s="807"/>
      <c r="C34" s="809"/>
      <c r="D34" s="806" t="s">
        <v>22</v>
      </c>
      <c r="E34" s="812"/>
      <c r="F34" s="831">
        <f>IF(B34="falsch",0,LOOKUP(E34,Richtpreise!$E$4:$E$60,Richtpreise!$F$4:$F$60))</f>
        <v>0</v>
      </c>
      <c r="G34" s="828">
        <f t="shared" si="0"/>
        <v>0</v>
      </c>
    </row>
    <row r="35" spans="2:7" ht="18" customHeight="1" thickBot="1" x14ac:dyDescent="0.25">
      <c r="B35" s="807"/>
      <c r="C35" s="810"/>
      <c r="D35" s="806" t="s">
        <v>22</v>
      </c>
      <c r="E35" s="813"/>
      <c r="F35" s="831">
        <f>IF(B35="falsch",0,LOOKUP(E35,Richtpreise!$E$4:$E$60,Richtpreise!$F$4:$F$60))</f>
        <v>0</v>
      </c>
      <c r="G35" s="828">
        <f t="shared" si="0"/>
        <v>0</v>
      </c>
    </row>
    <row r="36" spans="2:7" ht="25.5" customHeight="1" thickBot="1" x14ac:dyDescent="0.25">
      <c r="B36" s="788" t="s">
        <v>35</v>
      </c>
      <c r="C36" s="808">
        <f>SUM(C11:C35)</f>
        <v>0</v>
      </c>
      <c r="D36" s="789"/>
      <c r="E36" s="811"/>
      <c r="F36" s="830" t="s">
        <v>21</v>
      </c>
      <c r="G36" s="829">
        <f>SUM(G11:G35)</f>
        <v>0</v>
      </c>
    </row>
  </sheetData>
  <sheetProtection sheet="1"/>
  <customSheetViews>
    <customSheetView guid="{B919D2EB-D122-4E25-8E52-25BE88B69D9E}" scale="90" showGridLines="0" zeroValues="0" hiddenColumns="1">
      <selection activeCell="Q59" sqref="Q59"/>
      <pageMargins left="0.66" right="0.23622047244094491" top="0.39370078740157483" bottom="0.19685039370078741" header="0.43307086614173229" footer="0.19685039370078741"/>
      <pageSetup paperSize="9" orientation="portrait" blackAndWhite="1" r:id="rId1"/>
      <headerFooter alignWithMargins="0"/>
      <extLst>
        <ext xmlns:xlsdti="http://schemas.microsoft.com/office/spreadsheetml/2023/showDataTypeIcons" uri="{a3c15fd4-4149-4032-8f15-062bd4999b60}">
          <xlsdti:showDataTypeIconsCustomSheetView visible="0"/>
        </ext>
      </extLst>
    </customSheetView>
  </customSheetViews>
  <mergeCells count="8">
    <mergeCell ref="F2:G2"/>
    <mergeCell ref="F9:F10"/>
    <mergeCell ref="D9:E9"/>
    <mergeCell ref="F4:G4"/>
    <mergeCell ref="G9:G10"/>
    <mergeCell ref="B9:B10"/>
    <mergeCell ref="C9:C10"/>
    <mergeCell ref="D10:E10"/>
  </mergeCells>
  <phoneticPr fontId="16" type="noConversion"/>
  <pageMargins left="0.6692913385826772" right="0.23622047244094491" top="0.39370078740157483" bottom="0.19685039370078741" header="0.43307086614173229" footer="0.19685039370078741"/>
  <pageSetup paperSize="9" scale="82" orientation="portrait" blackAndWhite="1" r:id="rId2"/>
  <headerFooter alignWithMargins="0">
    <oddFooter>&amp;C&amp;8(C) Lerch Treuhand AG, Itingen</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10</vt:i4>
      </vt:variant>
    </vt:vector>
  </HeadingPairs>
  <TitlesOfParts>
    <vt:vector size="33" baseType="lpstr">
      <vt:lpstr>WIE AUSFÜLLEN!</vt:lpstr>
      <vt:lpstr>Bemerkungen zum IV</vt:lpstr>
      <vt:lpstr>DECKBLATT</vt:lpstr>
      <vt:lpstr>Rindvieh</vt:lpstr>
      <vt:lpstr>Richtpreise</vt:lpstr>
      <vt:lpstr>Richtzahlen RV</vt:lpstr>
      <vt:lpstr>Detail Kühe</vt:lpstr>
      <vt:lpstr>Detail Aufzucht</vt:lpstr>
      <vt:lpstr>Detail Mast</vt:lpstr>
      <vt:lpstr>Anderes Vieh</vt:lpstr>
      <vt:lpstr>Pferde</vt:lpstr>
      <vt:lpstr>Debitoren</vt:lpstr>
      <vt:lpstr>Zusatzblatt Deb.</vt:lpstr>
      <vt:lpstr>Wertschr._Kasse</vt:lpstr>
      <vt:lpstr>Kreditoren</vt:lpstr>
      <vt:lpstr>Zusatzblatt Kred.</vt:lpstr>
      <vt:lpstr>Schuldenverz.</vt:lpstr>
      <vt:lpstr>Selbstprod. V</vt:lpstr>
      <vt:lpstr>Zugek. V</vt:lpstr>
      <vt:lpstr>Naturallief.</vt:lpstr>
      <vt:lpstr>Anbauplan</vt:lpstr>
      <vt:lpstr>Verpfl. und Arbeitskontrolle</vt:lpstr>
      <vt:lpstr>Allg. Angaben</vt:lpstr>
      <vt:lpstr>Anbauplan!Druckbereich</vt:lpstr>
      <vt:lpstr>'Anderes Vieh'!Druckbereich</vt:lpstr>
      <vt:lpstr>Naturallief.!Druckbereich</vt:lpstr>
      <vt:lpstr>Pferde!Druckbereich</vt:lpstr>
      <vt:lpstr>Rindvieh!Druckbereich</vt:lpstr>
      <vt:lpstr>Schuldenverz.!Druckbereich</vt:lpstr>
      <vt:lpstr>'Selbstprod. V'!Druckbereich</vt:lpstr>
      <vt:lpstr>'Verpfl. und Arbeitskontrolle'!Druckbereich</vt:lpstr>
      <vt:lpstr>Wertschr._Kasse!Druckbereich</vt:lpstr>
      <vt:lpstr>'WIE AUSFÜLLEN!'!Druckbereich</vt:lpstr>
    </vt:vector>
  </TitlesOfParts>
  <Company>Lerch Treuhand AG, Itingen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duser</dc:creator>
  <cp:lastModifiedBy>Michèle Ehrenbogen</cp:lastModifiedBy>
  <cp:lastPrinted>2025-12-12T07:30:28Z</cp:lastPrinted>
  <dcterms:created xsi:type="dcterms:W3CDTF">2004-10-15T11:51:11Z</dcterms:created>
  <dcterms:modified xsi:type="dcterms:W3CDTF">2025-12-15T13:42:48Z</dcterms:modified>
</cp:coreProperties>
</file>